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20"/>
  <workbookPr/>
  <mc:AlternateContent xmlns:mc="http://schemas.openxmlformats.org/markup-compatibility/2006">
    <mc:Choice Requires="x15">
      <x15ac:absPath xmlns:x15ac="http://schemas.microsoft.com/office/spreadsheetml/2010/11/ac" url="C:\Users\info\Downloads\"/>
    </mc:Choice>
  </mc:AlternateContent>
  <xr:revisionPtr revIDLastSave="0" documentId="13_ncr:1_{F29D2AD7-A814-4982-8547-422F50A4ED20}" xr6:coauthVersionLast="47" xr6:coauthVersionMax="47" xr10:uidLastSave="{00000000-0000-0000-0000-000000000000}"/>
  <bookViews>
    <workbookView xWindow="11412" yWindow="0" windowWidth="11628" windowHeight="12360" xr2:uid="{00000000-000D-0000-FFFF-FFFF00000000}"/>
  </bookViews>
  <sheets>
    <sheet name="Comptes 25 + budget 26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0" i="5" l="1"/>
  <c r="G6" i="5"/>
  <c r="G7" i="5"/>
  <c r="G8" i="5"/>
  <c r="G9" i="5"/>
  <c r="G13" i="5"/>
  <c r="G14" i="5"/>
  <c r="G15" i="5"/>
  <c r="G18" i="5"/>
  <c r="G19" i="5"/>
  <c r="G20" i="5"/>
  <c r="G23" i="5"/>
  <c r="G24" i="5"/>
  <c r="G25" i="5"/>
  <c r="G26" i="5"/>
  <c r="G27" i="5"/>
  <c r="G29" i="5"/>
  <c r="G36" i="5"/>
  <c r="G37" i="5"/>
  <c r="G38" i="5"/>
  <c r="G39" i="5"/>
  <c r="G41" i="5"/>
  <c r="G42" i="5"/>
  <c r="G43" i="5"/>
  <c r="G44" i="5"/>
  <c r="G48" i="5"/>
  <c r="G49" i="5"/>
  <c r="G50" i="5"/>
  <c r="G51" i="5"/>
  <c r="G52" i="5"/>
  <c r="G53" i="5"/>
  <c r="G57" i="5"/>
  <c r="G58" i="5"/>
  <c r="G59" i="5"/>
  <c r="G60" i="5"/>
  <c r="G63" i="5"/>
  <c r="G64" i="5"/>
  <c r="G65" i="5"/>
  <c r="G66" i="5"/>
  <c r="G67" i="5"/>
  <c r="G71" i="5"/>
  <c r="G72" i="5"/>
  <c r="G73" i="5"/>
  <c r="G74" i="5"/>
  <c r="G75" i="5"/>
  <c r="G76" i="5"/>
  <c r="G77" i="5"/>
  <c r="G83" i="5"/>
  <c r="G84" i="5"/>
  <c r="G89" i="5"/>
  <c r="G90" i="5"/>
  <c r="G91" i="5"/>
  <c r="G92" i="5"/>
  <c r="G96" i="5"/>
  <c r="G97" i="5"/>
  <c r="G100" i="5"/>
  <c r="G101" i="5"/>
  <c r="G102" i="5"/>
  <c r="G106" i="5"/>
  <c r="G107" i="5"/>
  <c r="G112" i="5"/>
  <c r="G113" i="5"/>
  <c r="G115" i="5"/>
  <c r="G5" i="5"/>
  <c r="E68" i="5"/>
  <c r="G68" i="5"/>
  <c r="E78" i="5"/>
  <c r="G78" i="5"/>
  <c r="E114" i="5"/>
  <c r="G114" i="5"/>
  <c r="E108" i="5"/>
  <c r="G108" i="5"/>
  <c r="E103" i="5"/>
  <c r="G103" i="5"/>
  <c r="E97" i="5"/>
  <c r="E93" i="5"/>
  <c r="G93" i="5"/>
  <c r="E85" i="5"/>
  <c r="G85" i="5"/>
  <c r="E60" i="5"/>
  <c r="E54" i="5"/>
  <c r="G54" i="5"/>
  <c r="E45" i="5"/>
  <c r="E27" i="5"/>
  <c r="E19" i="5"/>
  <c r="E15" i="5"/>
  <c r="E8" i="5"/>
  <c r="D114" i="5"/>
  <c r="D108" i="5"/>
  <c r="D97" i="5"/>
  <c r="D93" i="5"/>
  <c r="D85" i="5"/>
  <c r="D68" i="5"/>
  <c r="D60" i="5"/>
  <c r="D45" i="5"/>
  <c r="G45" i="5"/>
  <c r="D27" i="5"/>
  <c r="D15" i="5"/>
  <c r="D20" i="5"/>
  <c r="D8" i="5"/>
  <c r="C114" i="5"/>
  <c r="D102" i="5"/>
  <c r="D103" i="5"/>
  <c r="D75" i="5"/>
  <c r="D78" i="5"/>
  <c r="D52" i="5"/>
  <c r="D54" i="5"/>
  <c r="C103" i="5"/>
  <c r="C97" i="5"/>
  <c r="C90" i="5"/>
  <c r="C85" i="5"/>
  <c r="C78" i="5"/>
  <c r="C68" i="5"/>
  <c r="C60" i="5"/>
  <c r="C54" i="5"/>
  <c r="C45" i="5"/>
  <c r="C27" i="5"/>
  <c r="C19" i="5"/>
  <c r="C15" i="5"/>
  <c r="C8" i="5"/>
  <c r="E20" i="5"/>
  <c r="D29" i="5"/>
  <c r="E9" i="5"/>
  <c r="E29" i="5"/>
  <c r="E109" i="5"/>
  <c r="G109" i="5"/>
  <c r="E80" i="5"/>
  <c r="D80" i="5"/>
  <c r="D109" i="5"/>
  <c r="C93" i="5"/>
  <c r="C80" i="5"/>
  <c r="C20" i="5"/>
  <c r="C9" i="5"/>
  <c r="G80" i="5"/>
  <c r="E116" i="5"/>
  <c r="D116" i="5"/>
  <c r="C109" i="5"/>
  <c r="C29" i="5"/>
  <c r="E118" i="5"/>
  <c r="G116" i="5"/>
  <c r="D118" i="5"/>
  <c r="D122" i="5"/>
  <c r="C116" i="5"/>
  <c r="C118" i="5"/>
</calcChain>
</file>

<file path=xl/sharedStrings.xml><?xml version="1.0" encoding="utf-8"?>
<sst xmlns="http://schemas.openxmlformats.org/spreadsheetml/2006/main" count="251" uniqueCount="183">
  <si>
    <t xml:space="preserve">Rubriques comptables </t>
  </si>
  <si>
    <t>RECETTES</t>
  </si>
  <si>
    <t>Conseils étudiants</t>
  </si>
  <si>
    <t xml:space="preserve">Cotisations </t>
  </si>
  <si>
    <t>R-C.1.1</t>
  </si>
  <si>
    <t>Membres Universités</t>
  </si>
  <si>
    <t>R-C.1.2</t>
  </si>
  <si>
    <t>Membres HE</t>
  </si>
  <si>
    <t>R-C.1.3</t>
  </si>
  <si>
    <t>Membres ESA</t>
  </si>
  <si>
    <t>Total Cotisations</t>
  </si>
  <si>
    <t>R-C.1</t>
  </si>
  <si>
    <t>R-C</t>
  </si>
  <si>
    <t>TOTAL Conseils étudiants</t>
  </si>
  <si>
    <t>Subsides</t>
  </si>
  <si>
    <t>Subsides FWB</t>
  </si>
  <si>
    <t>R-S.1.1</t>
  </si>
  <si>
    <t>Subvention ORC</t>
  </si>
  <si>
    <t>R-S.1.2</t>
  </si>
  <si>
    <t>Subsides OJ</t>
  </si>
  <si>
    <t>R-S.1</t>
  </si>
  <si>
    <t>Total Subsides FWB</t>
  </si>
  <si>
    <t>Subsides Régionaux</t>
  </si>
  <si>
    <t>AUTRES</t>
  </si>
  <si>
    <t>R-S.2.1</t>
  </si>
  <si>
    <t>Aides à l'emploi (APE, ACS)</t>
  </si>
  <si>
    <t>R-S.2</t>
  </si>
  <si>
    <t>Total Subsides régionaux</t>
  </si>
  <si>
    <t>R-S</t>
  </si>
  <si>
    <t>TOTAL Subsides</t>
  </si>
  <si>
    <t>R-X.1</t>
  </si>
  <si>
    <t>Jetons de présence</t>
  </si>
  <si>
    <t>R-X.2</t>
  </si>
  <si>
    <t>Intérêts bancaires</t>
  </si>
  <si>
    <t>R-X</t>
  </si>
  <si>
    <t>TOTAL Autres</t>
  </si>
  <si>
    <t xml:space="preserve">TOTAL RECETTES </t>
  </si>
  <si>
    <t xml:space="preserve">DEPENSES </t>
  </si>
  <si>
    <t xml:space="preserve">Structure générale </t>
  </si>
  <si>
    <t>Locaux</t>
  </si>
  <si>
    <t>D-G.1.1</t>
  </si>
  <si>
    <t>Remboursement Capital du prêt bancaire</t>
  </si>
  <si>
    <t>D-G.1.2</t>
  </si>
  <si>
    <t>Intérêts frais prêt bancaire</t>
  </si>
  <si>
    <t>D-G.1.3</t>
  </si>
  <si>
    <t>Frais architecte/travaux/entrepreneur</t>
  </si>
  <si>
    <t>D-G.1.4</t>
  </si>
  <si>
    <t xml:space="preserve">Charges communes co-proprièté </t>
  </si>
  <si>
    <t>D-G.1.5</t>
  </si>
  <si>
    <t>Revenu cadastral/précompte immobilier</t>
  </si>
  <si>
    <t>D-G.1.6</t>
  </si>
  <si>
    <t>Taxes régionales/communales</t>
  </si>
  <si>
    <t>D-G.1.7</t>
  </si>
  <si>
    <t>Taxes patrimoines</t>
  </si>
  <si>
    <t>Total</t>
  </si>
  <si>
    <t>D-G.1.8</t>
  </si>
  <si>
    <t>Charges eau, gaz, électricité</t>
  </si>
  <si>
    <t>D-G.1.9</t>
  </si>
  <si>
    <t>Entretien, réparation, aménagement</t>
  </si>
  <si>
    <t>D-G.1.10</t>
  </si>
  <si>
    <t>Assurances bâtiment</t>
  </si>
  <si>
    <t>voir amortissement</t>
  </si>
  <si>
    <t>D-G.1</t>
  </si>
  <si>
    <t xml:space="preserve">Total </t>
  </si>
  <si>
    <t xml:space="preserve">Bureautique </t>
  </si>
  <si>
    <t>D-G.2.1</t>
  </si>
  <si>
    <t>Petit matériel</t>
  </si>
  <si>
    <t>D-G.2.2</t>
  </si>
  <si>
    <t>Photocopieuse (entretien, impression)</t>
  </si>
  <si>
    <t>D-G.2.3</t>
  </si>
  <si>
    <t>Services informatiques</t>
  </si>
  <si>
    <t>D-G.2.4</t>
  </si>
  <si>
    <t>Abonnements presse</t>
  </si>
  <si>
    <t>D-G.2.5</t>
  </si>
  <si>
    <t>Livres et revues</t>
  </si>
  <si>
    <t>D-G.2.6</t>
  </si>
  <si>
    <t>Reprobel &amp; Copy press, droits d'auteur, RGPD</t>
  </si>
  <si>
    <t>D-G.2</t>
  </si>
  <si>
    <t>Poste et télécommunication</t>
  </si>
  <si>
    <t>D-G.3.1</t>
  </si>
  <si>
    <t>Téléphonie fixe et accès Internet</t>
  </si>
  <si>
    <t>D-G.3.2</t>
  </si>
  <si>
    <t>Téléphonie mobile</t>
  </si>
  <si>
    <t>D-G.3.3</t>
  </si>
  <si>
    <t>Frais postaux</t>
  </si>
  <si>
    <t>D-G.3</t>
  </si>
  <si>
    <t xml:space="preserve">Staff </t>
  </si>
  <si>
    <t>D-G.4.1</t>
  </si>
  <si>
    <t>Rémunération</t>
  </si>
  <si>
    <t>D-G.4.2</t>
  </si>
  <si>
    <t>Cotisations patronales</t>
  </si>
  <si>
    <t>D-G.4.3</t>
  </si>
  <si>
    <t>Frais de secrétariat</t>
  </si>
  <si>
    <t>D-G.4.4</t>
  </si>
  <si>
    <t>Assurances liées au personnel</t>
  </si>
  <si>
    <t>D-G.4.5</t>
  </si>
  <si>
    <t>Autres frais du personnel/formations</t>
  </si>
  <si>
    <t>D-G.4</t>
  </si>
  <si>
    <t xml:space="preserve">Autres frais </t>
  </si>
  <si>
    <t>D-G.5.1</t>
  </si>
  <si>
    <t>Frais bancaires</t>
  </si>
  <si>
    <t>D-G.5.2</t>
  </si>
  <si>
    <t>Frais d'accueil</t>
  </si>
  <si>
    <t>D-G.5.3</t>
  </si>
  <si>
    <t>Publications légales</t>
  </si>
  <si>
    <t>D-G.5.4</t>
  </si>
  <si>
    <t>Assurance administrateurs</t>
  </si>
  <si>
    <t>D-G.5.5</t>
  </si>
  <si>
    <t>Assurance responsabilité civile</t>
  </si>
  <si>
    <t>D-G.5.6</t>
  </si>
  <si>
    <t>Frais juridiques</t>
  </si>
  <si>
    <t>D-G.5.7</t>
  </si>
  <si>
    <t xml:space="preserve">Frais de comptabilité </t>
  </si>
  <si>
    <t>D-G.5</t>
  </si>
  <si>
    <t>D-G</t>
  </si>
  <si>
    <t xml:space="preserve">TOTAL Structure générale </t>
  </si>
  <si>
    <t>Actions</t>
  </si>
  <si>
    <t>D-A.1</t>
  </si>
  <si>
    <t>Dossiers</t>
  </si>
  <si>
    <t>D-A.2</t>
  </si>
  <si>
    <t>Campagne</t>
  </si>
  <si>
    <t>D-A</t>
  </si>
  <si>
    <t>TOTAL Actions</t>
  </si>
  <si>
    <t>Organisations</t>
  </si>
  <si>
    <t>Formations et évènements</t>
  </si>
  <si>
    <t>D-O.1.1</t>
  </si>
  <si>
    <t>Université d'Eté (UEF)</t>
  </si>
  <si>
    <t>D-O.1.2</t>
  </si>
  <si>
    <t>Week-End Formations (WEF)</t>
  </si>
  <si>
    <t>D-O.1.3</t>
  </si>
  <si>
    <t>Formations COMEX</t>
  </si>
  <si>
    <t>D-O.1.4</t>
  </si>
  <si>
    <t>Autres formations et évènements</t>
  </si>
  <si>
    <t>D-O.1</t>
  </si>
  <si>
    <t>Conseil fédéral</t>
  </si>
  <si>
    <t>D-O.2.1</t>
  </si>
  <si>
    <t>Accueil</t>
  </si>
  <si>
    <t>D-O.2</t>
  </si>
  <si>
    <t>Relations publiques</t>
  </si>
  <si>
    <t>D-O.3.1</t>
  </si>
  <si>
    <t>D-O.3.2</t>
  </si>
  <si>
    <t>Participations à l'international</t>
  </si>
  <si>
    <t>D-O.3.3</t>
  </si>
  <si>
    <t>Cotisations (ESU, Relie-F, Fesoj, …)</t>
  </si>
  <si>
    <t>D-O.3</t>
  </si>
  <si>
    <t>Régionales, bureau, comex, …</t>
  </si>
  <si>
    <t>D-O.4.1</t>
  </si>
  <si>
    <t>Déplacements</t>
  </si>
  <si>
    <t>D-O.4.2</t>
  </si>
  <si>
    <t>Frais de représentation</t>
  </si>
  <si>
    <t>D-O.4</t>
  </si>
  <si>
    <t>D-O</t>
  </si>
  <si>
    <t>TOTAL ORGANISATION</t>
  </si>
  <si>
    <t>Média et Communication</t>
  </si>
  <si>
    <t>D-C.1.1</t>
  </si>
  <si>
    <t xml:space="preserve">Matériel de promotion </t>
  </si>
  <si>
    <t>D-C.1.2</t>
  </si>
  <si>
    <t>Frais réseaux sociaux</t>
  </si>
  <si>
    <t>D-C</t>
  </si>
  <si>
    <t>TOTAL MEDIA COM</t>
  </si>
  <si>
    <t>TOTAL DES DEPENSES</t>
  </si>
  <si>
    <t>Ajusté octobre 2025</t>
  </si>
  <si>
    <t>=</t>
  </si>
  <si>
    <t>+</t>
  </si>
  <si>
    <t>-</t>
  </si>
  <si>
    <t>++</t>
  </si>
  <si>
    <t>+++</t>
  </si>
  <si>
    <t>--</t>
  </si>
  <si>
    <t>---</t>
  </si>
  <si>
    <t>Participations aux activités extérieures</t>
  </si>
  <si>
    <t>Comptes arrêtés au 31.12.2025</t>
  </si>
  <si>
    <t>Budget 2026</t>
  </si>
  <si>
    <t>0-10</t>
  </si>
  <si>
    <t>11-50</t>
  </si>
  <si>
    <t>51-100</t>
  </si>
  <si>
    <t>101+</t>
  </si>
  <si>
    <t>R-X.3</t>
  </si>
  <si>
    <t>Exonération précompte professionnel</t>
  </si>
  <si>
    <t>R-X.4</t>
  </si>
  <si>
    <t xml:space="preserve">Récupération de frais auprès des tiers </t>
  </si>
  <si>
    <t xml:space="preserve">Dotation aux amortissements </t>
  </si>
  <si>
    <t xml:space="preserve">Création d'une dotation </t>
  </si>
  <si>
    <t>Résultat avec amortissements (= bénéfice année 2025, bénéfice reporté si utilisation terme comptable)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</si>
</sst>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;[Red]\-#,##0.00\ &quot;€&quot;"/>
    <numFmt numFmtId="165" formatCode="_-* #,##0.00\ [$€-40C]_-;\-* #,##0.00\ [$€-40C]_-;_-* &quot;-&quot;??\ [$€-40C]_-;_-@_-"/>
    <numFmt numFmtId="166" formatCode="_-* #,##0.00\ [$€-1]_-;\-* #,##0.00\ [$€-1]_-;_-* &quot;-&quot;??\ [$€-1]_-;_-@_-"/>
  </numFmts>
  <fonts count="40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b/>
      <sz val="11"/>
      <name val="Aptos Narrow"/>
      <family val="2"/>
      <scheme val="minor"/>
    </font>
    <font>
      <i/>
      <sz val="11"/>
      <name val="Aptos Narrow"/>
      <family val="2"/>
      <scheme val="minor"/>
    </font>
    <font>
      <b/>
      <i/>
      <sz val="11"/>
      <color rgb="FF00000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1"/>
      <color rgb="FF000000"/>
      <name val="Calibri"/>
      <family val="2"/>
    </font>
    <font>
      <i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i/>
      <sz val="11"/>
      <color theme="1"/>
      <name val="Aptos Narrow"/>
      <scheme val="minor"/>
    </font>
    <font>
      <sz val="11"/>
      <color theme="9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sz val="11"/>
      <color rgb="FF242424"/>
      <name val="Aptos Narrow"/>
    </font>
    <font>
      <i/>
      <sz val="11"/>
      <color rgb="FFFF0000"/>
      <name val="Aptos Narrow"/>
      <family val="2"/>
    </font>
    <font>
      <b/>
      <sz val="11"/>
      <color theme="1"/>
      <name val="Aptos Narrow"/>
      <family val="2"/>
    </font>
    <font>
      <b/>
      <sz val="10"/>
      <name val="Aptos Narrow"/>
      <family val="2"/>
      <scheme val="minor"/>
    </font>
    <font>
      <sz val="11"/>
      <color rgb="FF92D050"/>
      <name val="Aptos"/>
    </font>
    <font>
      <sz val="11"/>
      <color theme="8" tint="-0.249977111117893"/>
      <name val="Aptos"/>
    </font>
    <font>
      <sz val="10"/>
      <color rgb="FF92D050"/>
      <name val="Aptos"/>
    </font>
    <font>
      <b/>
      <sz val="11"/>
      <color theme="1"/>
      <name val="Aptos"/>
    </font>
    <font>
      <b/>
      <sz val="11"/>
      <color rgb="FF000000"/>
      <name val="Aptos"/>
    </font>
    <font>
      <i/>
      <sz val="11"/>
      <color rgb="FF000000"/>
      <name val="Aptos"/>
    </font>
    <font>
      <sz val="11"/>
      <color rgb="FF000000"/>
      <name val="Aptos"/>
    </font>
    <font>
      <i/>
      <sz val="11"/>
      <color rgb="FFFF0000"/>
      <name val="Aptos"/>
    </font>
    <font>
      <sz val="11"/>
      <color rgb="FFFF0000"/>
      <name val="Aptos"/>
    </font>
    <font>
      <i/>
      <sz val="11"/>
      <color rgb="FF92D050"/>
      <name val="Aptos"/>
    </font>
    <font>
      <i/>
      <sz val="11"/>
      <color theme="8" tint="-0.249977111117893"/>
      <name val="Aptos"/>
    </font>
    <font>
      <b/>
      <i/>
      <sz val="11"/>
      <color rgb="FF000000"/>
      <name val="Aptos"/>
    </font>
    <font>
      <sz val="11"/>
      <color rgb="FF7030A0"/>
      <name val="Aptos"/>
      <family val="2"/>
    </font>
    <font>
      <sz val="11"/>
      <color rgb="FF92D050"/>
      <name val="Aptos"/>
      <family val="2"/>
    </font>
  </fonts>
  <fills count="2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F8CBAD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CCCC"/>
        <bgColor indexed="64"/>
      </patternFill>
    </fill>
    <fill>
      <patternFill patternType="solid">
        <fgColor rgb="FFFFCCCC"/>
        <bgColor rgb="FF000000"/>
      </patternFill>
    </fill>
    <fill>
      <patternFill patternType="solid">
        <fgColor rgb="FFCCCCFF"/>
        <bgColor indexed="64"/>
      </patternFill>
    </fill>
    <fill>
      <patternFill patternType="solid">
        <fgColor rgb="FFCCCCFF"/>
        <bgColor rgb="FF000000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rgb="FF000000"/>
      </patternFill>
    </fill>
    <fill>
      <patternFill patternType="solid">
        <fgColor rgb="FFB4C6E7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49992370372631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139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6" borderId="1" xfId="0" applyFont="1" applyFill="1" applyBorder="1"/>
    <xf numFmtId="0" fontId="7" fillId="4" borderId="1" xfId="0" applyFont="1" applyFill="1" applyBorder="1"/>
    <xf numFmtId="0" fontId="4" fillId="4" borderId="1" xfId="0" applyFont="1" applyFill="1" applyBorder="1"/>
    <xf numFmtId="0" fontId="2" fillId="9" borderId="1" xfId="0" applyFont="1" applyFill="1" applyBorder="1"/>
    <xf numFmtId="0" fontId="2" fillId="13" borderId="1" xfId="0" applyFont="1" applyFill="1" applyBorder="1"/>
    <xf numFmtId="0" fontId="0" fillId="15" borderId="1" xfId="0" applyFill="1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165" fontId="3" fillId="0" borderId="3" xfId="0" applyNumberFormat="1" applyFont="1" applyBorder="1" applyAlignment="1">
      <alignment horizontal="right"/>
    </xf>
    <xf numFmtId="165" fontId="5" fillId="0" borderId="3" xfId="0" applyNumberFormat="1" applyFont="1" applyBorder="1" applyAlignment="1">
      <alignment horizontal="right"/>
    </xf>
    <xf numFmtId="165" fontId="6" fillId="0" borderId="3" xfId="0" applyNumberFormat="1" applyFont="1" applyBorder="1" applyAlignment="1">
      <alignment horizontal="right"/>
    </xf>
    <xf numFmtId="165" fontId="5" fillId="5" borderId="3" xfId="0" applyNumberFormat="1" applyFont="1" applyFill="1" applyBorder="1" applyAlignment="1">
      <alignment horizontal="right"/>
    </xf>
    <xf numFmtId="165" fontId="6" fillId="7" borderId="3" xfId="0" applyNumberFormat="1" applyFont="1" applyFill="1" applyBorder="1" applyAlignment="1">
      <alignment horizontal="right"/>
    </xf>
    <xf numFmtId="165" fontId="5" fillId="7" borderId="3" xfId="0" applyNumberFormat="1" applyFont="1" applyFill="1" applyBorder="1" applyAlignment="1">
      <alignment horizontal="right"/>
    </xf>
    <xf numFmtId="165" fontId="6" fillId="10" borderId="3" xfId="0" applyNumberFormat="1" applyFont="1" applyFill="1" applyBorder="1" applyAlignment="1">
      <alignment horizontal="right"/>
    </xf>
    <xf numFmtId="165" fontId="5" fillId="10" borderId="3" xfId="0" applyNumberFormat="1" applyFont="1" applyFill="1" applyBorder="1" applyAlignment="1">
      <alignment horizontal="right"/>
    </xf>
    <xf numFmtId="165" fontId="5" fillId="12" borderId="3" xfId="0" applyNumberFormat="1" applyFont="1" applyFill="1" applyBorder="1" applyAlignment="1">
      <alignment horizontal="right"/>
    </xf>
    <xf numFmtId="165" fontId="6" fillId="18" borderId="3" xfId="0" applyNumberFormat="1" applyFont="1" applyFill="1" applyBorder="1" applyAlignment="1">
      <alignment horizontal="right"/>
    </xf>
    <xf numFmtId="165" fontId="5" fillId="14" borderId="3" xfId="0" applyNumberFormat="1" applyFont="1" applyFill="1" applyBorder="1" applyAlignment="1">
      <alignment horizontal="right"/>
    </xf>
    <xf numFmtId="165" fontId="3" fillId="0" borderId="3" xfId="0" applyNumberFormat="1" applyFont="1" applyBorder="1"/>
    <xf numFmtId="165" fontId="0" fillId="0" borderId="0" xfId="0" applyNumberFormat="1"/>
    <xf numFmtId="165" fontId="6" fillId="0" borderId="0" xfId="0" applyNumberFormat="1" applyFont="1" applyAlignment="1">
      <alignment horizontal="right"/>
    </xf>
    <xf numFmtId="165" fontId="3" fillId="0" borderId="0" xfId="0" applyNumberFormat="1" applyFont="1"/>
    <xf numFmtId="0" fontId="14" fillId="0" borderId="0" xfId="0" applyFont="1"/>
    <xf numFmtId="0" fontId="14" fillId="0" borderId="0" xfId="0" applyFont="1" applyAlignment="1">
      <alignment wrapText="1"/>
    </xf>
    <xf numFmtId="0" fontId="15" fillId="0" borderId="0" xfId="0" applyFont="1"/>
    <xf numFmtId="0" fontId="11" fillId="0" borderId="1" xfId="0" applyFont="1" applyBorder="1"/>
    <xf numFmtId="0" fontId="2" fillId="20" borderId="1" xfId="0" applyFont="1" applyFill="1" applyBorder="1"/>
    <xf numFmtId="165" fontId="6" fillId="16" borderId="7" xfId="0" applyNumberFormat="1" applyFont="1" applyFill="1" applyBorder="1" applyAlignment="1">
      <alignment horizontal="right"/>
    </xf>
    <xf numFmtId="49" fontId="0" fillId="0" borderId="0" xfId="0" applyNumberFormat="1" applyAlignment="1">
      <alignment horizontal="center"/>
    </xf>
    <xf numFmtId="165" fontId="9" fillId="0" borderId="3" xfId="0" applyNumberFormat="1" applyFont="1" applyBorder="1" applyAlignment="1">
      <alignment horizontal="right"/>
    </xf>
    <xf numFmtId="49" fontId="6" fillId="0" borderId="3" xfId="0" applyNumberFormat="1" applyFont="1" applyBorder="1" applyAlignment="1">
      <alignment horizontal="center"/>
    </xf>
    <xf numFmtId="49" fontId="13" fillId="0" borderId="3" xfId="0" applyNumberFormat="1" applyFont="1" applyBorder="1" applyAlignment="1">
      <alignment horizontal="center"/>
    </xf>
    <xf numFmtId="9" fontId="13" fillId="0" borderId="3" xfId="0" applyNumberFormat="1" applyFont="1" applyBorder="1"/>
    <xf numFmtId="49" fontId="13" fillId="0" borderId="3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/>
    </xf>
    <xf numFmtId="165" fontId="6" fillId="19" borderId="3" xfId="0" applyNumberFormat="1" applyFont="1" applyFill="1" applyBorder="1" applyAlignment="1">
      <alignment horizontal="right"/>
    </xf>
    <xf numFmtId="49" fontId="12" fillId="0" borderId="3" xfId="0" applyNumberFormat="1" applyFont="1" applyBorder="1" applyAlignment="1">
      <alignment horizontal="center"/>
    </xf>
    <xf numFmtId="49" fontId="17" fillId="0" borderId="3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165" fontId="3" fillId="0" borderId="8" xfId="0" applyNumberFormat="1" applyFont="1" applyBorder="1"/>
    <xf numFmtId="0" fontId="2" fillId="11" borderId="7" xfId="0" applyFont="1" applyFill="1" applyBorder="1"/>
    <xf numFmtId="0" fontId="2" fillId="19" borderId="7" xfId="0" applyFont="1" applyFill="1" applyBorder="1"/>
    <xf numFmtId="0" fontId="2" fillId="17" borderId="7" xfId="0" applyFont="1" applyFill="1" applyBorder="1"/>
    <xf numFmtId="0" fontId="14" fillId="19" borderId="7" xfId="0" applyFont="1" applyFill="1" applyBorder="1"/>
    <xf numFmtId="0" fontId="2" fillId="11" borderId="9" xfId="0" applyFont="1" applyFill="1" applyBorder="1"/>
    <xf numFmtId="165" fontId="6" fillId="12" borderId="6" xfId="0" applyNumberFormat="1" applyFont="1" applyFill="1" applyBorder="1" applyAlignment="1">
      <alignment horizontal="right"/>
    </xf>
    <xf numFmtId="49" fontId="6" fillId="12" borderId="6" xfId="0" applyNumberFormat="1" applyFont="1" applyFill="1" applyBorder="1" applyAlignment="1">
      <alignment horizontal="center"/>
    </xf>
    <xf numFmtId="49" fontId="10" fillId="3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/>
    </xf>
    <xf numFmtId="0" fontId="20" fillId="2" borderId="1" xfId="0" applyFont="1" applyFill="1" applyBorder="1" applyAlignment="1">
      <alignment horizontal="center" vertical="center"/>
    </xf>
    <xf numFmtId="0" fontId="2" fillId="0" borderId="7" xfId="0" applyFont="1" applyBorder="1"/>
    <xf numFmtId="0" fontId="0" fillId="0" borderId="7" xfId="0" applyBorder="1"/>
    <xf numFmtId="0" fontId="4" fillId="0" borderId="7" xfId="0" applyFont="1" applyBorder="1"/>
    <xf numFmtId="0" fontId="14" fillId="0" borderId="7" xfId="0" applyFont="1" applyBorder="1"/>
    <xf numFmtId="0" fontId="2" fillId="25" borderId="7" xfId="0" applyFont="1" applyFill="1" applyBorder="1" applyAlignment="1">
      <alignment horizontal="center" vertical="center"/>
    </xf>
    <xf numFmtId="0" fontId="2" fillId="22" borderId="7" xfId="0" applyFont="1" applyFill="1" applyBorder="1"/>
    <xf numFmtId="0" fontId="3" fillId="0" borderId="7" xfId="0" applyFont="1" applyBorder="1"/>
    <xf numFmtId="0" fontId="0" fillId="0" borderId="4" xfId="0" applyBorder="1"/>
    <xf numFmtId="0" fontId="16" fillId="0" borderId="0" xfId="0" applyFont="1" applyAlignment="1">
      <alignment wrapText="1"/>
    </xf>
    <xf numFmtId="0" fontId="16" fillId="0" borderId="0" xfId="0" applyFont="1"/>
    <xf numFmtId="0" fontId="0" fillId="0" borderId="10" xfId="0" applyBorder="1"/>
    <xf numFmtId="0" fontId="0" fillId="0" borderId="11" xfId="0" applyBorder="1"/>
    <xf numFmtId="0" fontId="7" fillId="4" borderId="11" xfId="0" applyFont="1" applyFill="1" applyBorder="1"/>
    <xf numFmtId="0" fontId="4" fillId="4" borderId="11" xfId="0" applyFont="1" applyFill="1" applyBorder="1"/>
    <xf numFmtId="49" fontId="0" fillId="2" borderId="0" xfId="0" applyNumberFormat="1" applyFill="1" applyAlignment="1">
      <alignment horizontal="center"/>
    </xf>
    <xf numFmtId="0" fontId="1" fillId="25" borderId="2" xfId="0" applyFont="1" applyFill="1" applyBorder="1" applyAlignment="1">
      <alignment horizontal="center"/>
    </xf>
    <xf numFmtId="165" fontId="21" fillId="3" borderId="4" xfId="0" applyNumberFormat="1" applyFont="1" applyFill="1" applyBorder="1" applyAlignment="1">
      <alignment horizontal="center" vertical="center"/>
    </xf>
    <xf numFmtId="165" fontId="20" fillId="2" borderId="4" xfId="0" applyNumberFormat="1" applyFont="1" applyFill="1" applyBorder="1" applyAlignment="1">
      <alignment horizontal="center" vertical="center"/>
    </xf>
    <xf numFmtId="0" fontId="22" fillId="0" borderId="0" xfId="0" applyFont="1"/>
    <xf numFmtId="0" fontId="14" fillId="0" borderId="3" xfId="0" applyFont="1" applyBorder="1"/>
    <xf numFmtId="0" fontId="2" fillId="17" borderId="5" xfId="0" applyFont="1" applyFill="1" applyBorder="1"/>
    <xf numFmtId="0" fontId="24" fillId="0" borderId="12" xfId="0" applyFont="1" applyBorder="1"/>
    <xf numFmtId="0" fontId="2" fillId="13" borderId="9" xfId="0" applyFont="1" applyFill="1" applyBorder="1"/>
    <xf numFmtId="165" fontId="5" fillId="14" borderId="6" xfId="0" applyNumberFormat="1" applyFont="1" applyFill="1" applyBorder="1" applyAlignment="1">
      <alignment horizontal="right"/>
    </xf>
    <xf numFmtId="0" fontId="23" fillId="0" borderId="3" xfId="0" applyFont="1" applyBorder="1"/>
    <xf numFmtId="165" fontId="6" fillId="21" borderId="0" xfId="0" applyNumberFormat="1" applyFont="1" applyFill="1"/>
    <xf numFmtId="0" fontId="12" fillId="0" borderId="0" xfId="0" applyFont="1"/>
    <xf numFmtId="165" fontId="6" fillId="24" borderId="3" xfId="0" applyNumberFormat="1" applyFont="1" applyFill="1" applyBorder="1"/>
    <xf numFmtId="165" fontId="6" fillId="24" borderId="5" xfId="0" applyNumberFormat="1" applyFont="1" applyFill="1" applyBorder="1"/>
    <xf numFmtId="165" fontId="6" fillId="0" borderId="0" xfId="0" applyNumberFormat="1" applyFont="1"/>
    <xf numFmtId="0" fontId="2" fillId="0" borderId="0" xfId="0" applyFont="1"/>
    <xf numFmtId="166" fontId="25" fillId="0" borderId="14" xfId="0" applyNumberFormat="1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49" fontId="0" fillId="0" borderId="5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9" fontId="6" fillId="0" borderId="3" xfId="0" applyNumberFormat="1" applyFont="1" applyBorder="1" applyAlignment="1">
      <alignment horizontal="center"/>
    </xf>
    <xf numFmtId="49" fontId="10" fillId="0" borderId="0" xfId="0" applyNumberFormat="1" applyFont="1" applyAlignment="1">
      <alignment horizontal="center" vertical="center"/>
    </xf>
    <xf numFmtId="0" fontId="0" fillId="0" borderId="0" xfId="0" quotePrefix="1"/>
    <xf numFmtId="165" fontId="19" fillId="0" borderId="3" xfId="0" applyNumberFormat="1" applyFont="1" applyBorder="1" applyAlignment="1">
      <alignment horizontal="right"/>
    </xf>
    <xf numFmtId="165" fontId="19" fillId="0" borderId="3" xfId="0" applyNumberFormat="1" applyFont="1" applyBorder="1" applyAlignment="1">
      <alignment horizontal="right" vertical="center"/>
    </xf>
    <xf numFmtId="165" fontId="5" fillId="19" borderId="3" xfId="0" applyNumberFormat="1" applyFont="1" applyFill="1" applyBorder="1" applyAlignment="1">
      <alignment horizontal="right"/>
    </xf>
    <xf numFmtId="165" fontId="3" fillId="4" borderId="12" xfId="0" applyNumberFormat="1" applyFont="1" applyFill="1" applyBorder="1" applyAlignment="1">
      <alignment horizontal="right"/>
    </xf>
    <xf numFmtId="165" fontId="5" fillId="17" borderId="5" xfId="0" applyNumberFormat="1" applyFont="1" applyFill="1" applyBorder="1" applyAlignment="1">
      <alignment horizontal="right"/>
    </xf>
    <xf numFmtId="165" fontId="5" fillId="23" borderId="3" xfId="0" applyNumberFormat="1" applyFont="1" applyFill="1" applyBorder="1" applyAlignment="1">
      <alignment horizontal="right"/>
    </xf>
    <xf numFmtId="165" fontId="26" fillId="0" borderId="3" xfId="0" applyNumberFormat="1" applyFont="1" applyBorder="1" applyAlignment="1">
      <alignment horizontal="right"/>
    </xf>
    <xf numFmtId="165" fontId="27" fillId="0" borderId="3" xfId="0" applyNumberFormat="1" applyFont="1" applyBorder="1" applyAlignment="1">
      <alignment horizontal="right"/>
    </xf>
    <xf numFmtId="165" fontId="28" fillId="0" borderId="3" xfId="0" applyNumberFormat="1" applyFont="1" applyBorder="1" applyAlignment="1">
      <alignment horizontal="right" vertical="center"/>
    </xf>
    <xf numFmtId="165" fontId="27" fillId="0" borderId="3" xfId="0" applyNumberFormat="1" applyFont="1" applyBorder="1" applyAlignment="1">
      <alignment horizontal="right" vertical="center"/>
    </xf>
    <xf numFmtId="165" fontId="29" fillId="0" borderId="3" xfId="0" applyNumberFormat="1" applyFont="1" applyBorder="1" applyAlignment="1">
      <alignment horizontal="right"/>
    </xf>
    <xf numFmtId="165" fontId="30" fillId="0" borderId="3" xfId="0" applyNumberFormat="1" applyFont="1" applyBorder="1" applyAlignment="1">
      <alignment horizontal="right"/>
    </xf>
    <xf numFmtId="165" fontId="30" fillId="12" borderId="3" xfId="0" applyNumberFormat="1" applyFont="1" applyFill="1" applyBorder="1" applyAlignment="1">
      <alignment horizontal="right"/>
    </xf>
    <xf numFmtId="165" fontId="31" fillId="19" borderId="3" xfId="0" applyNumberFormat="1" applyFont="1" applyFill="1" applyBorder="1" applyAlignment="1">
      <alignment horizontal="right"/>
    </xf>
    <xf numFmtId="165" fontId="31" fillId="0" borderId="3" xfId="0" applyNumberFormat="1" applyFont="1" applyBorder="1" applyAlignment="1">
      <alignment horizontal="right"/>
    </xf>
    <xf numFmtId="165" fontId="32" fillId="0" borderId="3" xfId="0" applyNumberFormat="1" applyFont="1" applyBorder="1" applyAlignment="1">
      <alignment horizontal="right"/>
    </xf>
    <xf numFmtId="165" fontId="30" fillId="19" borderId="3" xfId="0" applyNumberFormat="1" applyFont="1" applyFill="1" applyBorder="1" applyAlignment="1">
      <alignment horizontal="right"/>
    </xf>
    <xf numFmtId="165" fontId="31" fillId="18" borderId="3" xfId="0" applyNumberFormat="1" applyFont="1" applyFill="1" applyBorder="1" applyAlignment="1">
      <alignment horizontal="right"/>
    </xf>
    <xf numFmtId="164" fontId="33" fillId="8" borderId="3" xfId="0" applyNumberFormat="1" applyFont="1" applyFill="1" applyBorder="1" applyAlignment="1">
      <alignment horizontal="right"/>
    </xf>
    <xf numFmtId="165" fontId="32" fillId="26" borderId="7" xfId="0" applyNumberFormat="1" applyFont="1" applyFill="1" applyBorder="1" applyAlignment="1">
      <alignment horizontal="right"/>
    </xf>
    <xf numFmtId="164" fontId="33" fillId="0" borderId="13" xfId="0" applyNumberFormat="1" applyFont="1" applyBorder="1" applyAlignment="1">
      <alignment horizontal="right"/>
    </xf>
    <xf numFmtId="165" fontId="32" fillId="26" borderId="12" xfId="0" applyNumberFormat="1" applyFont="1" applyFill="1" applyBorder="1" applyAlignment="1">
      <alignment horizontal="right"/>
    </xf>
    <xf numFmtId="165" fontId="30" fillId="17" borderId="15" xfId="0" applyNumberFormat="1" applyFont="1" applyFill="1" applyBorder="1" applyAlignment="1">
      <alignment horizontal="right"/>
    </xf>
    <xf numFmtId="165" fontId="30" fillId="17" borderId="1" xfId="0" applyNumberFormat="1" applyFont="1" applyFill="1" applyBorder="1" applyAlignment="1">
      <alignment horizontal="right"/>
    </xf>
    <xf numFmtId="164" fontId="33" fillId="0" borderId="3" xfId="0" applyNumberFormat="1" applyFont="1" applyBorder="1" applyAlignment="1">
      <alignment horizontal="right"/>
    </xf>
    <xf numFmtId="165" fontId="32" fillId="4" borderId="9" xfId="0" applyNumberFormat="1" applyFont="1" applyFill="1" applyBorder="1" applyAlignment="1">
      <alignment horizontal="right"/>
    </xf>
    <xf numFmtId="165" fontId="30" fillId="14" borderId="6" xfId="0" applyNumberFormat="1" applyFont="1" applyFill="1" applyBorder="1" applyAlignment="1">
      <alignment horizontal="right"/>
    </xf>
    <xf numFmtId="165" fontId="30" fillId="14" borderId="3" xfId="0" applyNumberFormat="1" applyFont="1" applyFill="1" applyBorder="1" applyAlignment="1">
      <alignment horizontal="right"/>
    </xf>
    <xf numFmtId="165" fontId="30" fillId="23" borderId="3" xfId="0" applyNumberFormat="1" applyFont="1" applyFill="1" applyBorder="1" applyAlignment="1">
      <alignment horizontal="right"/>
    </xf>
    <xf numFmtId="165" fontId="35" fillId="0" borderId="3" xfId="0" applyNumberFormat="1" applyFont="1" applyBorder="1" applyAlignment="1">
      <alignment horizontal="right"/>
    </xf>
    <xf numFmtId="165" fontId="30" fillId="5" borderId="3" xfId="0" applyNumberFormat="1" applyFont="1" applyFill="1" applyBorder="1" applyAlignment="1">
      <alignment horizontal="right"/>
    </xf>
    <xf numFmtId="165" fontId="31" fillId="7" borderId="3" xfId="0" applyNumberFormat="1" applyFont="1" applyFill="1" applyBorder="1" applyAlignment="1">
      <alignment horizontal="right"/>
    </xf>
    <xf numFmtId="165" fontId="36" fillId="0" borderId="3" xfId="0" applyNumberFormat="1" applyFont="1" applyBorder="1" applyAlignment="1">
      <alignment horizontal="right"/>
    </xf>
    <xf numFmtId="165" fontId="37" fillId="0" borderId="3" xfId="0" applyNumberFormat="1" applyFont="1" applyBorder="1" applyAlignment="1">
      <alignment horizontal="right"/>
    </xf>
    <xf numFmtId="165" fontId="26" fillId="4" borderId="3" xfId="0" applyNumberFormat="1" applyFont="1" applyFill="1" applyBorder="1" applyAlignment="1">
      <alignment horizontal="right"/>
    </xf>
    <xf numFmtId="165" fontId="30" fillId="7" borderId="3" xfId="0" applyNumberFormat="1" applyFont="1" applyFill="1" applyBorder="1" applyAlignment="1">
      <alignment horizontal="right"/>
    </xf>
    <xf numFmtId="165" fontId="31" fillId="10" borderId="3" xfId="0" applyNumberFormat="1" applyFont="1" applyFill="1" applyBorder="1" applyAlignment="1">
      <alignment horizontal="right"/>
    </xf>
    <xf numFmtId="165" fontId="30" fillId="10" borderId="3" xfId="0" applyNumberFormat="1" applyFont="1" applyFill="1" applyBorder="1" applyAlignment="1">
      <alignment horizontal="right"/>
    </xf>
    <xf numFmtId="165" fontId="31" fillId="16" borderId="7" xfId="0" applyNumberFormat="1" applyFont="1" applyFill="1" applyBorder="1" applyAlignment="1">
      <alignment horizontal="right"/>
    </xf>
    <xf numFmtId="165" fontId="3" fillId="21" borderId="0" xfId="0" applyNumberFormat="1" applyFont="1" applyFill="1" applyAlignment="1">
      <alignment horizontal="left" vertical="top" indent="1"/>
    </xf>
    <xf numFmtId="165" fontId="34" fillId="26" borderId="3" xfId="0" applyNumberFormat="1" applyFont="1" applyFill="1" applyBorder="1" applyAlignment="1">
      <alignment horizontal="right"/>
    </xf>
    <xf numFmtId="165" fontId="38" fillId="0" borderId="3" xfId="0" applyNumberFormat="1" applyFont="1" applyBorder="1" applyAlignment="1">
      <alignment horizontal="right"/>
    </xf>
    <xf numFmtId="165" fontId="39" fillId="0" borderId="3" xfId="0" applyNumberFormat="1" applyFont="1" applyBorder="1" applyAlignment="1">
      <alignment horizontal="right"/>
    </xf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2" defaultPivotStyle="PivotStyleMedium9"/>
  <colors>
    <mruColors>
      <color rgb="FFF8CBAD"/>
      <color rgb="FFFFCCCC"/>
      <color rgb="FFCCFFFF"/>
      <color rgb="FFB4C6E7"/>
      <color rgb="FFCCCCFF"/>
      <color rgb="FFFFE699"/>
      <color rgb="FFFFC000"/>
      <color rgb="FFD0CECE"/>
      <color rgb="FFFFCC66"/>
      <color rgb="FFC6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E111E-594E-46CE-8BB1-A8CBA8138610}">
  <sheetPr>
    <pageSetUpPr fitToPage="1"/>
  </sheetPr>
  <dimension ref="A1:L131"/>
  <sheetViews>
    <sheetView tabSelected="1" zoomScale="72" zoomScaleNormal="72" workbookViewId="0">
      <pane ySplit="1" topLeftCell="A2" activePane="bottomLeft" state="frozen"/>
      <selection pane="bottomLeft" activeCell="E82" sqref="E82"/>
    </sheetView>
  </sheetViews>
  <sheetFormatPr defaultColWidth="8.875" defaultRowHeight="15" customHeight="1" x14ac:dyDescent="0.2"/>
  <cols>
    <col min="2" max="2" width="34.4375" customWidth="1"/>
    <col min="3" max="3" width="27.0390625" style="26" customWidth="1"/>
    <col min="4" max="4" width="36.3203125" style="26" bestFit="1" customWidth="1"/>
    <col min="5" max="5" width="15.6015625" style="26" customWidth="1"/>
    <col min="6" max="6" width="7.6640625" style="33" customWidth="1"/>
    <col min="7" max="7" width="12.9140625" style="33" customWidth="1"/>
    <col min="10" max="10" width="11.43359375" customWidth="1"/>
  </cols>
  <sheetData>
    <row r="1" spans="1:12" ht="18.75" x14ac:dyDescent="0.2">
      <c r="A1" s="1"/>
      <c r="B1" s="56" t="s">
        <v>0</v>
      </c>
      <c r="C1" s="73" t="s">
        <v>161</v>
      </c>
      <c r="D1" s="74" t="s">
        <v>170</v>
      </c>
      <c r="E1" s="73" t="s">
        <v>171</v>
      </c>
      <c r="F1" s="71"/>
      <c r="G1" s="54"/>
      <c r="H1" s="94"/>
    </row>
    <row r="2" spans="1:12" ht="16.5" x14ac:dyDescent="0.25">
      <c r="A2" s="64"/>
      <c r="B2" s="72" t="s">
        <v>1</v>
      </c>
      <c r="C2" s="23"/>
      <c r="D2" s="23"/>
      <c r="E2" s="23"/>
      <c r="F2" s="55"/>
      <c r="G2" s="55"/>
      <c r="I2">
        <v>-2000</v>
      </c>
      <c r="K2">
        <v>2000</v>
      </c>
    </row>
    <row r="3" spans="1:12" x14ac:dyDescent="0.2">
      <c r="B3" s="51" t="s">
        <v>2</v>
      </c>
      <c r="C3" s="52"/>
      <c r="D3" s="52"/>
      <c r="E3" s="52"/>
      <c r="F3" s="53"/>
      <c r="G3" s="53"/>
      <c r="I3" s="95" t="s">
        <v>172</v>
      </c>
      <c r="J3" t="s">
        <v>162</v>
      </c>
    </row>
    <row r="4" spans="1:12" x14ac:dyDescent="0.2">
      <c r="B4" s="57" t="s">
        <v>3</v>
      </c>
      <c r="C4" s="14"/>
      <c r="D4" s="14"/>
      <c r="E4" s="14"/>
      <c r="F4" s="35"/>
      <c r="G4" s="35"/>
      <c r="I4" s="95" t="s">
        <v>173</v>
      </c>
      <c r="J4" s="95" t="s">
        <v>163</v>
      </c>
    </row>
    <row r="5" spans="1:12" x14ac:dyDescent="0.2">
      <c r="A5" s="10" t="s">
        <v>4</v>
      </c>
      <c r="B5" s="58" t="s">
        <v>5</v>
      </c>
      <c r="C5" s="96">
        <v>56236.62</v>
      </c>
      <c r="D5" s="102">
        <v>56236.62</v>
      </c>
      <c r="E5" s="103">
        <v>57644.17</v>
      </c>
      <c r="F5" s="36" t="s">
        <v>162</v>
      </c>
      <c r="G5" s="37">
        <f>(E5-D5)/D5</f>
        <v>2.5029064691298935E-2</v>
      </c>
      <c r="I5" s="95" t="s">
        <v>174</v>
      </c>
      <c r="J5" s="95" t="s">
        <v>165</v>
      </c>
    </row>
    <row r="6" spans="1:12" x14ac:dyDescent="0.2">
      <c r="A6" s="10" t="s">
        <v>6</v>
      </c>
      <c r="B6" s="58" t="s">
        <v>7</v>
      </c>
      <c r="C6" s="97">
        <v>47315.4</v>
      </c>
      <c r="D6" s="104">
        <v>44371.8</v>
      </c>
      <c r="E6" s="105">
        <v>109774</v>
      </c>
      <c r="F6" s="38" t="s">
        <v>166</v>
      </c>
      <c r="G6" s="37">
        <f t="shared" ref="G6:G68" si="0">(E6-D6)/D6</f>
        <v>1.4739586854714029</v>
      </c>
      <c r="I6" t="s">
        <v>175</v>
      </c>
      <c r="J6" s="95" t="s">
        <v>166</v>
      </c>
    </row>
    <row r="7" spans="1:12" x14ac:dyDescent="0.2">
      <c r="A7" s="10" t="s">
        <v>8</v>
      </c>
      <c r="B7" s="58" t="s">
        <v>9</v>
      </c>
      <c r="C7" s="12">
        <v>5327.52</v>
      </c>
      <c r="D7" s="102">
        <v>4245.12</v>
      </c>
      <c r="E7" s="103">
        <v>7584.27</v>
      </c>
      <c r="F7" s="39" t="s">
        <v>166</v>
      </c>
      <c r="G7" s="37">
        <f t="shared" si="0"/>
        <v>0.78658553821800103</v>
      </c>
    </row>
    <row r="8" spans="1:12" x14ac:dyDescent="0.2">
      <c r="A8" s="28" t="s">
        <v>11</v>
      </c>
      <c r="B8" s="57" t="s">
        <v>10</v>
      </c>
      <c r="C8" s="13">
        <f>SUM(C5:C7)</f>
        <v>108879.54000000001</v>
      </c>
      <c r="D8" s="106">
        <f>SUM(D5:D6)+4245.12</f>
        <v>104853.54000000001</v>
      </c>
      <c r="E8" s="107">
        <f>SUM(E5+E6+E7)</f>
        <v>175002.43999999997</v>
      </c>
      <c r="F8" s="39" t="s">
        <v>166</v>
      </c>
      <c r="G8" s="37">
        <f t="shared" si="0"/>
        <v>0.66901794636594969</v>
      </c>
    </row>
    <row r="9" spans="1:12" x14ac:dyDescent="0.2">
      <c r="A9" s="65" t="s">
        <v>12</v>
      </c>
      <c r="B9" s="47" t="s">
        <v>13</v>
      </c>
      <c r="C9" s="20">
        <f>C8</f>
        <v>108879.54000000001</v>
      </c>
      <c r="D9" s="108">
        <v>104853.54</v>
      </c>
      <c r="E9" s="108">
        <f>E8</f>
        <v>175002.43999999997</v>
      </c>
      <c r="F9" s="44" t="s">
        <v>166</v>
      </c>
      <c r="G9" s="37">
        <f t="shared" si="0"/>
        <v>0.66901794636594991</v>
      </c>
    </row>
    <row r="10" spans="1:12" x14ac:dyDescent="0.2">
      <c r="B10" s="57"/>
      <c r="C10" s="13"/>
      <c r="D10" s="107"/>
      <c r="E10" s="107"/>
      <c r="F10" s="39"/>
      <c r="G10" s="37"/>
      <c r="J10" s="87"/>
    </row>
    <row r="11" spans="1:12" x14ac:dyDescent="0.2">
      <c r="A11" s="11"/>
      <c r="B11" s="50" t="s">
        <v>14</v>
      </c>
      <c r="C11" s="40"/>
      <c r="D11" s="109"/>
      <c r="E11" s="109"/>
      <c r="F11" s="41"/>
      <c r="G11" s="37"/>
      <c r="J11" s="89"/>
    </row>
    <row r="12" spans="1:12" x14ac:dyDescent="0.2">
      <c r="B12" s="57" t="s">
        <v>15</v>
      </c>
      <c r="C12" s="14"/>
      <c r="D12" s="110"/>
      <c r="E12" s="110"/>
      <c r="F12" s="41"/>
      <c r="G12" s="37"/>
      <c r="J12" s="24"/>
    </row>
    <row r="13" spans="1:12" x14ac:dyDescent="0.2">
      <c r="A13" t="s">
        <v>16</v>
      </c>
      <c r="B13" s="58" t="s">
        <v>17</v>
      </c>
      <c r="C13" s="12">
        <v>100000</v>
      </c>
      <c r="D13" s="102">
        <v>65761</v>
      </c>
      <c r="E13" s="103">
        <v>90000</v>
      </c>
      <c r="F13" s="42" t="s">
        <v>165</v>
      </c>
      <c r="G13" s="37">
        <f t="shared" si="0"/>
        <v>0.36859232675902132</v>
      </c>
      <c r="L13" s="88"/>
    </row>
    <row r="14" spans="1:12" x14ac:dyDescent="0.2">
      <c r="A14" t="s">
        <v>18</v>
      </c>
      <c r="B14" s="59" t="s">
        <v>19</v>
      </c>
      <c r="C14" s="12">
        <v>315315.75</v>
      </c>
      <c r="D14" s="102">
        <v>315403.86</v>
      </c>
      <c r="E14" s="103">
        <v>300000</v>
      </c>
      <c r="F14" s="42" t="s">
        <v>162</v>
      </c>
      <c r="G14" s="37">
        <f t="shared" si="0"/>
        <v>-4.8838527213966205E-2</v>
      </c>
    </row>
    <row r="15" spans="1:12" x14ac:dyDescent="0.2">
      <c r="A15" s="27" t="s">
        <v>20</v>
      </c>
      <c r="B15" s="57" t="s">
        <v>21</v>
      </c>
      <c r="C15" s="13">
        <f>SUM(C14,C13)</f>
        <v>415315.75</v>
      </c>
      <c r="D15" s="107">
        <f>SUM(D13:D14)</f>
        <v>381164.86</v>
      </c>
      <c r="E15" s="107">
        <f>SUM(E13+E14)</f>
        <v>390000</v>
      </c>
      <c r="F15" s="39" t="s">
        <v>162</v>
      </c>
      <c r="G15" s="37">
        <f t="shared" si="0"/>
        <v>2.3179314063736134E-2</v>
      </c>
    </row>
    <row r="16" spans="1:12" x14ac:dyDescent="0.2">
      <c r="B16" s="59"/>
      <c r="C16" s="12"/>
      <c r="D16" s="111"/>
      <c r="E16" s="111"/>
      <c r="F16" s="43"/>
      <c r="G16" s="37"/>
    </row>
    <row r="17" spans="1:7" x14ac:dyDescent="0.2">
      <c r="B17" s="57" t="s">
        <v>22</v>
      </c>
      <c r="C17" s="13"/>
      <c r="D17" s="107"/>
      <c r="E17" s="107"/>
      <c r="F17" s="39"/>
      <c r="G17" s="37"/>
    </row>
    <row r="18" spans="1:7" x14ac:dyDescent="0.2">
      <c r="A18" s="29" t="s">
        <v>24</v>
      </c>
      <c r="B18" s="58" t="s">
        <v>25</v>
      </c>
      <c r="C18" s="12">
        <v>39572.67</v>
      </c>
      <c r="D18" s="102">
        <v>50667.71</v>
      </c>
      <c r="E18" s="103">
        <v>55000</v>
      </c>
      <c r="F18" s="42" t="s">
        <v>163</v>
      </c>
      <c r="G18" s="37">
        <f t="shared" si="0"/>
        <v>8.5503962977604486E-2</v>
      </c>
    </row>
    <row r="19" spans="1:7" x14ac:dyDescent="0.2">
      <c r="A19" s="27" t="s">
        <v>26</v>
      </c>
      <c r="B19" s="57" t="s">
        <v>27</v>
      </c>
      <c r="C19" s="13">
        <f>SUM(C18)</f>
        <v>39572.67</v>
      </c>
      <c r="D19" s="107">
        <v>50667.71</v>
      </c>
      <c r="E19" s="107">
        <f>E18</f>
        <v>55000</v>
      </c>
      <c r="F19" s="39" t="s">
        <v>163</v>
      </c>
      <c r="G19" s="37">
        <f t="shared" si="0"/>
        <v>8.5503962977604486E-2</v>
      </c>
    </row>
    <row r="20" spans="1:7" x14ac:dyDescent="0.2">
      <c r="A20" s="66" t="s">
        <v>28</v>
      </c>
      <c r="B20" s="48" t="s">
        <v>29</v>
      </c>
      <c r="C20" s="98">
        <f>SUM(C19,C15)</f>
        <v>454888.42</v>
      </c>
      <c r="D20" s="112">
        <f>SUM(D15+D19)</f>
        <v>431832.57</v>
      </c>
      <c r="E20" s="112">
        <f>SUM(E15+E19)</f>
        <v>445000</v>
      </c>
      <c r="F20" s="39" t="s">
        <v>162</v>
      </c>
      <c r="G20" s="37">
        <f t="shared" si="0"/>
        <v>3.0491979796706842E-2</v>
      </c>
    </row>
    <row r="21" spans="1:7" x14ac:dyDescent="0.2">
      <c r="A21" s="10"/>
      <c r="B21" s="57"/>
      <c r="C21" s="14"/>
      <c r="D21" s="110"/>
      <c r="E21" s="110"/>
      <c r="F21" s="35"/>
      <c r="G21" s="37"/>
    </row>
    <row r="22" spans="1:7" x14ac:dyDescent="0.2">
      <c r="B22" s="49" t="s">
        <v>23</v>
      </c>
      <c r="C22" s="21"/>
      <c r="D22" s="113"/>
      <c r="E22" s="113"/>
      <c r="F22" s="35"/>
      <c r="G22" s="37"/>
    </row>
    <row r="23" spans="1:7" x14ac:dyDescent="0.2">
      <c r="A23" s="27" t="s">
        <v>30</v>
      </c>
      <c r="B23" s="60" t="s">
        <v>31</v>
      </c>
      <c r="C23" s="12">
        <v>9665.6299999999992</v>
      </c>
      <c r="D23" s="102">
        <v>13644.98</v>
      </c>
      <c r="E23" s="103">
        <v>9000</v>
      </c>
      <c r="F23" s="42" t="s">
        <v>167</v>
      </c>
      <c r="G23" s="37">
        <f t="shared" si="0"/>
        <v>-0.34041676865777742</v>
      </c>
    </row>
    <row r="24" spans="1:7" x14ac:dyDescent="0.2">
      <c r="A24" s="27" t="s">
        <v>32</v>
      </c>
      <c r="B24" s="60" t="s">
        <v>33</v>
      </c>
      <c r="C24" s="12">
        <v>434.13</v>
      </c>
      <c r="D24" s="102">
        <v>434.13</v>
      </c>
      <c r="E24" s="103">
        <v>500</v>
      </c>
      <c r="F24" s="42" t="s">
        <v>163</v>
      </c>
      <c r="G24" s="37">
        <f t="shared" si="0"/>
        <v>0.15172874484601387</v>
      </c>
    </row>
    <row r="25" spans="1:7" x14ac:dyDescent="0.2">
      <c r="A25" s="87" t="s">
        <v>176</v>
      </c>
      <c r="B25" s="76" t="s">
        <v>177</v>
      </c>
      <c r="C25" s="12"/>
      <c r="D25" s="114">
        <v>558.4</v>
      </c>
      <c r="E25" s="115"/>
      <c r="G25" s="37">
        <f t="shared" si="0"/>
        <v>-1</v>
      </c>
    </row>
    <row r="26" spans="1:7" x14ac:dyDescent="0.2">
      <c r="A26" s="66" t="s">
        <v>178</v>
      </c>
      <c r="B26" s="78" t="s">
        <v>179</v>
      </c>
      <c r="C26" s="99"/>
      <c r="D26" s="116">
        <v>306.02</v>
      </c>
      <c r="E26" s="117"/>
      <c r="F26" s="90"/>
      <c r="G26" s="37">
        <f t="shared" si="0"/>
        <v>-1</v>
      </c>
    </row>
    <row r="27" spans="1:7" x14ac:dyDescent="0.2">
      <c r="A27" s="66" t="s">
        <v>34</v>
      </c>
      <c r="B27" s="77" t="s">
        <v>35</v>
      </c>
      <c r="C27" s="100">
        <f>SUM(C23:C24)</f>
        <v>10099.759999999998</v>
      </c>
      <c r="D27" s="118">
        <f>SUM(D23:D24)</f>
        <v>14079.109999999999</v>
      </c>
      <c r="E27" s="119">
        <f>SUM(E23+E24)</f>
        <v>9500</v>
      </c>
      <c r="F27" s="91" t="s">
        <v>167</v>
      </c>
      <c r="G27" s="37">
        <f t="shared" si="0"/>
        <v>-0.32524143926711269</v>
      </c>
    </row>
    <row r="28" spans="1:7" x14ac:dyDescent="0.2">
      <c r="B28" s="81"/>
      <c r="C28" s="12"/>
      <c r="D28" s="120"/>
      <c r="E28" s="121"/>
      <c r="F28" s="92"/>
      <c r="G28" s="37"/>
    </row>
    <row r="29" spans="1:7" x14ac:dyDescent="0.2">
      <c r="A29" s="10"/>
      <c r="B29" s="79" t="s">
        <v>36</v>
      </c>
      <c r="C29" s="80">
        <f>C9+C20+C27</f>
        <v>573867.72</v>
      </c>
      <c r="D29" s="122">
        <f>SUM(D9+D20+D27+D25+D26)</f>
        <v>551629.64</v>
      </c>
      <c r="E29" s="123">
        <f>SUM(E9+E20+E27)</f>
        <v>629502.43999999994</v>
      </c>
      <c r="F29" s="44" t="s">
        <v>163</v>
      </c>
      <c r="G29" s="37">
        <f t="shared" si="0"/>
        <v>0.14116862900985511</v>
      </c>
    </row>
    <row r="30" spans="1:7" x14ac:dyDescent="0.2">
      <c r="B30" s="58"/>
      <c r="C30" s="14"/>
      <c r="D30" s="110"/>
      <c r="E30" s="110"/>
      <c r="F30" s="35"/>
      <c r="G30" s="37"/>
    </row>
    <row r="31" spans="1:7" x14ac:dyDescent="0.2">
      <c r="A31" s="10"/>
      <c r="B31" s="58"/>
      <c r="C31" s="12"/>
      <c r="D31" s="111"/>
      <c r="E31" s="111"/>
      <c r="F31" s="44"/>
      <c r="G31" s="37"/>
    </row>
    <row r="32" spans="1:7" x14ac:dyDescent="0.2">
      <c r="A32" s="10"/>
      <c r="B32" s="61" t="s">
        <v>37</v>
      </c>
      <c r="C32" s="12"/>
      <c r="D32" s="111"/>
      <c r="E32" s="111"/>
      <c r="F32" s="44"/>
      <c r="G32" s="37"/>
    </row>
    <row r="33" spans="1:7" x14ac:dyDescent="0.2">
      <c r="B33" s="62" t="s">
        <v>38</v>
      </c>
      <c r="C33" s="101"/>
      <c r="D33" s="124"/>
      <c r="E33" s="124"/>
      <c r="F33" s="44"/>
      <c r="G33" s="37"/>
    </row>
    <row r="34" spans="1:7" x14ac:dyDescent="0.2">
      <c r="B34" s="57" t="s">
        <v>39</v>
      </c>
      <c r="C34" s="12"/>
      <c r="D34" s="111"/>
      <c r="E34" s="111"/>
      <c r="F34" s="44"/>
      <c r="G34" s="37"/>
    </row>
    <row r="35" spans="1:7" x14ac:dyDescent="0.2">
      <c r="A35" s="10" t="s">
        <v>40</v>
      </c>
      <c r="B35" s="58" t="s">
        <v>41</v>
      </c>
      <c r="C35" s="12">
        <v>9500</v>
      </c>
      <c r="D35" s="138" t="s">
        <v>61</v>
      </c>
      <c r="E35" s="136"/>
      <c r="F35" s="44" t="s">
        <v>164</v>
      </c>
      <c r="G35" s="37"/>
    </row>
    <row r="36" spans="1:7" x14ac:dyDescent="0.2">
      <c r="A36" s="10" t="s">
        <v>42</v>
      </c>
      <c r="B36" s="58" t="s">
        <v>43</v>
      </c>
      <c r="C36" s="12">
        <v>13500</v>
      </c>
      <c r="D36" s="102">
        <v>13251.41</v>
      </c>
      <c r="E36" s="137">
        <v>12500</v>
      </c>
      <c r="F36" s="44" t="s">
        <v>164</v>
      </c>
      <c r="G36" s="37">
        <f t="shared" si="0"/>
        <v>-5.6704154501294568E-2</v>
      </c>
    </row>
    <row r="37" spans="1:7" x14ac:dyDescent="0.2">
      <c r="A37" s="10" t="s">
        <v>44</v>
      </c>
      <c r="B37" s="58" t="s">
        <v>45</v>
      </c>
      <c r="C37" s="12">
        <v>4000</v>
      </c>
      <c r="D37" s="102">
        <v>3881.08</v>
      </c>
      <c r="E37" s="103">
        <v>4000</v>
      </c>
      <c r="F37" s="39" t="s">
        <v>162</v>
      </c>
      <c r="G37" s="37">
        <f t="shared" si="0"/>
        <v>3.0640955610294063E-2</v>
      </c>
    </row>
    <row r="38" spans="1:7" x14ac:dyDescent="0.2">
      <c r="A38" s="10" t="s">
        <v>46</v>
      </c>
      <c r="B38" s="63" t="s">
        <v>47</v>
      </c>
      <c r="C38" s="12">
        <v>3500</v>
      </c>
      <c r="D38" s="102">
        <v>3640.73</v>
      </c>
      <c r="E38" s="103">
        <v>3800</v>
      </c>
      <c r="F38" s="39" t="s">
        <v>162</v>
      </c>
      <c r="G38" s="37">
        <f t="shared" si="0"/>
        <v>4.3746721124609617E-2</v>
      </c>
    </row>
    <row r="39" spans="1:7" x14ac:dyDescent="0.2">
      <c r="A39" s="10" t="s">
        <v>48</v>
      </c>
      <c r="B39" s="58" t="s">
        <v>49</v>
      </c>
      <c r="C39" s="12">
        <v>3500</v>
      </c>
      <c r="D39" s="102">
        <v>3239.78</v>
      </c>
      <c r="E39" s="103">
        <v>3500</v>
      </c>
      <c r="F39" s="39" t="s">
        <v>162</v>
      </c>
      <c r="G39" s="37">
        <f t="shared" si="0"/>
        <v>8.0320268660217603E-2</v>
      </c>
    </row>
    <row r="40" spans="1:7" x14ac:dyDescent="0.2">
      <c r="A40" s="10" t="s">
        <v>50</v>
      </c>
      <c r="B40" s="58" t="s">
        <v>51</v>
      </c>
      <c r="C40" s="12">
        <v>600</v>
      </c>
      <c r="D40" s="102">
        <v>0</v>
      </c>
      <c r="E40" s="103">
        <v>150</v>
      </c>
      <c r="F40" s="39"/>
      <c r="G40" s="37"/>
    </row>
    <row r="41" spans="1:7" x14ac:dyDescent="0.2">
      <c r="A41" s="10" t="s">
        <v>52</v>
      </c>
      <c r="B41" s="58" t="s">
        <v>53</v>
      </c>
      <c r="C41" s="12">
        <v>545.34</v>
      </c>
      <c r="D41" s="102">
        <v>545.34</v>
      </c>
      <c r="E41" s="103">
        <v>550</v>
      </c>
      <c r="F41" s="39" t="s">
        <v>162</v>
      </c>
      <c r="G41" s="37">
        <f t="shared" si="0"/>
        <v>8.5451278101734106E-3</v>
      </c>
    </row>
    <row r="42" spans="1:7" x14ac:dyDescent="0.2">
      <c r="A42" s="10" t="s">
        <v>55</v>
      </c>
      <c r="B42" s="58" t="s">
        <v>56</v>
      </c>
      <c r="C42" s="12">
        <v>3700</v>
      </c>
      <c r="D42" s="102">
        <v>3570.06</v>
      </c>
      <c r="E42" s="103">
        <v>4500</v>
      </c>
      <c r="F42" s="39" t="s">
        <v>163</v>
      </c>
      <c r="G42" s="37">
        <f t="shared" si="0"/>
        <v>0.26048301709214972</v>
      </c>
    </row>
    <row r="43" spans="1:7" x14ac:dyDescent="0.2">
      <c r="A43" s="10" t="s">
        <v>57</v>
      </c>
      <c r="B43" s="58" t="s">
        <v>58</v>
      </c>
      <c r="C43" s="12">
        <v>2000</v>
      </c>
      <c r="D43" s="102">
        <v>1422.01</v>
      </c>
      <c r="E43" s="103">
        <v>4000</v>
      </c>
      <c r="F43" s="39" t="s">
        <v>162</v>
      </c>
      <c r="G43" s="37">
        <f t="shared" si="0"/>
        <v>1.8129197403675079</v>
      </c>
    </row>
    <row r="44" spans="1:7" x14ac:dyDescent="0.2">
      <c r="A44" s="10" t="s">
        <v>59</v>
      </c>
      <c r="B44" s="58" t="s">
        <v>60</v>
      </c>
      <c r="C44" s="12">
        <v>893.09</v>
      </c>
      <c r="D44" s="102">
        <v>1120.6199999999999</v>
      </c>
      <c r="E44" s="103">
        <v>1500</v>
      </c>
      <c r="F44" s="39" t="s">
        <v>163</v>
      </c>
      <c r="G44" s="37">
        <f t="shared" si="0"/>
        <v>0.3385447341650159</v>
      </c>
    </row>
    <row r="45" spans="1:7" x14ac:dyDescent="0.2">
      <c r="A45" s="28" t="s">
        <v>62</v>
      </c>
      <c r="B45" s="57" t="s">
        <v>63</v>
      </c>
      <c r="C45" s="13">
        <f>SUM(C34:C44)</f>
        <v>41738.429999999993</v>
      </c>
      <c r="D45" s="106">
        <f>SUM(D35:D44)</f>
        <v>30671.029999999995</v>
      </c>
      <c r="E45" s="107">
        <f>SUM(E35:E44)</f>
        <v>34500</v>
      </c>
      <c r="F45" s="44" t="s">
        <v>162</v>
      </c>
      <c r="G45" s="37">
        <f t="shared" si="0"/>
        <v>0.12483995483686089</v>
      </c>
    </row>
    <row r="46" spans="1:7" x14ac:dyDescent="0.2">
      <c r="A46" s="28"/>
      <c r="B46" s="58"/>
      <c r="C46" s="14"/>
      <c r="D46" s="110"/>
      <c r="E46" s="110"/>
      <c r="F46" s="35"/>
      <c r="G46" s="37"/>
    </row>
    <row r="47" spans="1:7" x14ac:dyDescent="0.2">
      <c r="B47" s="57" t="s">
        <v>64</v>
      </c>
      <c r="C47" s="14"/>
      <c r="D47" s="110"/>
      <c r="E47" s="110"/>
      <c r="F47" s="35"/>
      <c r="G47" s="37"/>
    </row>
    <row r="48" spans="1:7" x14ac:dyDescent="0.2">
      <c r="A48" s="10" t="s">
        <v>65</v>
      </c>
      <c r="B48" s="58" t="s">
        <v>66</v>
      </c>
      <c r="C48" s="12">
        <v>3500</v>
      </c>
      <c r="D48" s="102">
        <v>3443.58</v>
      </c>
      <c r="E48" s="103">
        <v>3700</v>
      </c>
      <c r="F48" s="39" t="s">
        <v>163</v>
      </c>
      <c r="G48" s="37">
        <f t="shared" si="0"/>
        <v>7.4463203991195229E-2</v>
      </c>
    </row>
    <row r="49" spans="1:7" x14ac:dyDescent="0.2">
      <c r="A49" s="10" t="s">
        <v>67</v>
      </c>
      <c r="B49" s="58" t="s">
        <v>68</v>
      </c>
      <c r="C49" s="12">
        <v>4000</v>
      </c>
      <c r="D49" s="102">
        <v>3467.62</v>
      </c>
      <c r="E49" s="103">
        <v>4500</v>
      </c>
      <c r="F49" s="39" t="s">
        <v>163</v>
      </c>
      <c r="G49" s="37">
        <f t="shared" si="0"/>
        <v>0.29772005006315577</v>
      </c>
    </row>
    <row r="50" spans="1:7" x14ac:dyDescent="0.2">
      <c r="A50" s="10" t="s">
        <v>69</v>
      </c>
      <c r="B50" s="63" t="s">
        <v>70</v>
      </c>
      <c r="C50" s="12">
        <v>4000</v>
      </c>
      <c r="D50" s="102">
        <v>4710.68</v>
      </c>
      <c r="E50" s="103">
        <v>10000</v>
      </c>
      <c r="F50" s="39" t="s">
        <v>165</v>
      </c>
      <c r="G50" s="37">
        <f t="shared" si="0"/>
        <v>1.1228357689335722</v>
      </c>
    </row>
    <row r="51" spans="1:7" x14ac:dyDescent="0.2">
      <c r="A51" s="10" t="s">
        <v>71</v>
      </c>
      <c r="B51" s="58" t="s">
        <v>72</v>
      </c>
      <c r="C51" s="12">
        <v>8000</v>
      </c>
      <c r="D51" s="102">
        <v>6832.21</v>
      </c>
      <c r="E51" s="103">
        <v>3000</v>
      </c>
      <c r="F51" s="44" t="s">
        <v>168</v>
      </c>
      <c r="G51" s="37">
        <f t="shared" si="0"/>
        <v>-0.56090342656329362</v>
      </c>
    </row>
    <row r="52" spans="1:7" x14ac:dyDescent="0.2">
      <c r="A52" s="10" t="s">
        <v>73</v>
      </c>
      <c r="B52" s="58" t="s">
        <v>74</v>
      </c>
      <c r="C52" s="12">
        <v>400</v>
      </c>
      <c r="D52" s="102">
        <f>49.99+38+51</f>
        <v>138.99</v>
      </c>
      <c r="E52" s="103">
        <v>800</v>
      </c>
      <c r="F52" s="44" t="s">
        <v>166</v>
      </c>
      <c r="G52" s="37">
        <f t="shared" si="0"/>
        <v>4.755809770487085</v>
      </c>
    </row>
    <row r="53" spans="1:7" x14ac:dyDescent="0.2">
      <c r="A53" s="10" t="s">
        <v>75</v>
      </c>
      <c r="B53" s="58" t="s">
        <v>76</v>
      </c>
      <c r="C53" s="12">
        <v>3000</v>
      </c>
      <c r="D53" s="102">
        <v>2759.39</v>
      </c>
      <c r="E53" s="103">
        <v>2800</v>
      </c>
      <c r="F53" s="39" t="s">
        <v>162</v>
      </c>
      <c r="G53" s="37">
        <f t="shared" si="0"/>
        <v>1.4717020790827005E-2</v>
      </c>
    </row>
    <row r="54" spans="1:7" x14ac:dyDescent="0.2">
      <c r="A54" s="28" t="s">
        <v>77</v>
      </c>
      <c r="B54" s="57" t="s">
        <v>63</v>
      </c>
      <c r="C54" s="13">
        <f>SUM(C48:C53)</f>
        <v>22900</v>
      </c>
      <c r="D54" s="106">
        <f>SUM(D48:D53)</f>
        <v>21352.47</v>
      </c>
      <c r="E54" s="107">
        <f>SUM(E48:E53)</f>
        <v>24800</v>
      </c>
      <c r="F54" s="44" t="s">
        <v>162</v>
      </c>
      <c r="G54" s="37">
        <f t="shared" si="0"/>
        <v>0.16145813575665946</v>
      </c>
    </row>
    <row r="55" spans="1:7" x14ac:dyDescent="0.2">
      <c r="B55" s="58"/>
      <c r="C55" s="14"/>
      <c r="D55" s="125"/>
      <c r="E55" s="110"/>
      <c r="F55" s="35"/>
      <c r="G55" s="37"/>
    </row>
    <row r="56" spans="1:7" x14ac:dyDescent="0.2">
      <c r="B56" s="57" t="s">
        <v>78</v>
      </c>
      <c r="C56" s="14"/>
      <c r="D56" s="125"/>
      <c r="E56" s="110"/>
      <c r="F56" s="35"/>
      <c r="G56" s="37"/>
    </row>
    <row r="57" spans="1:7" x14ac:dyDescent="0.2">
      <c r="A57" s="10" t="s">
        <v>79</v>
      </c>
      <c r="B57" s="58" t="s">
        <v>80</v>
      </c>
      <c r="C57" s="12">
        <v>7000</v>
      </c>
      <c r="D57" s="102">
        <v>6989.43</v>
      </c>
      <c r="E57" s="103">
        <v>6000</v>
      </c>
      <c r="F57" s="39" t="s">
        <v>164</v>
      </c>
      <c r="G57" s="37">
        <f t="shared" si="0"/>
        <v>-0.14156089981586484</v>
      </c>
    </row>
    <row r="58" spans="1:7" x14ac:dyDescent="0.2">
      <c r="A58" s="10" t="s">
        <v>81</v>
      </c>
      <c r="B58" s="58" t="s">
        <v>82</v>
      </c>
      <c r="C58" s="12">
        <v>4000</v>
      </c>
      <c r="D58" s="102">
        <v>3870.74</v>
      </c>
      <c r="E58" s="103">
        <v>3000</v>
      </c>
      <c r="F58" s="39" t="s">
        <v>164</v>
      </c>
      <c r="G58" s="37">
        <f t="shared" si="0"/>
        <v>-0.22495440148395393</v>
      </c>
    </row>
    <row r="59" spans="1:7" x14ac:dyDescent="0.2">
      <c r="A59" s="10" t="s">
        <v>83</v>
      </c>
      <c r="B59" s="58" t="s">
        <v>84</v>
      </c>
      <c r="C59" s="12">
        <v>700</v>
      </c>
      <c r="D59" s="102">
        <v>375</v>
      </c>
      <c r="E59" s="103">
        <v>400</v>
      </c>
      <c r="F59" s="39" t="s">
        <v>163</v>
      </c>
      <c r="G59" s="37">
        <f t="shared" si="0"/>
        <v>6.6666666666666666E-2</v>
      </c>
    </row>
    <row r="60" spans="1:7" x14ac:dyDescent="0.2">
      <c r="A60" s="28" t="s">
        <v>85</v>
      </c>
      <c r="B60" s="57" t="s">
        <v>63</v>
      </c>
      <c r="C60" s="13">
        <f>SUM(C57:C59)</f>
        <v>11700</v>
      </c>
      <c r="D60" s="107">
        <f>SUM(D57:D59)</f>
        <v>11235.17</v>
      </c>
      <c r="E60" s="107">
        <f>SUM(E57:E59)</f>
        <v>9400</v>
      </c>
      <c r="F60" s="44" t="s">
        <v>164</v>
      </c>
      <c r="G60" s="37">
        <f t="shared" si="0"/>
        <v>-0.16334154267358661</v>
      </c>
    </row>
    <row r="61" spans="1:7" x14ac:dyDescent="0.2">
      <c r="B61" s="58"/>
      <c r="C61" s="14"/>
      <c r="D61" s="110"/>
      <c r="E61" s="110"/>
      <c r="F61" s="35"/>
      <c r="G61" s="37"/>
    </row>
    <row r="62" spans="1:7" x14ac:dyDescent="0.2">
      <c r="B62" s="57" t="s">
        <v>86</v>
      </c>
      <c r="C62" s="14"/>
      <c r="D62" s="110"/>
      <c r="E62" s="110"/>
      <c r="F62" s="35"/>
      <c r="G62" s="37"/>
    </row>
    <row r="63" spans="1:7" x14ac:dyDescent="0.2">
      <c r="A63" s="10" t="s">
        <v>87</v>
      </c>
      <c r="B63" s="58" t="s">
        <v>88</v>
      </c>
      <c r="C63" s="12">
        <v>300000</v>
      </c>
      <c r="D63" s="102">
        <v>261074.4</v>
      </c>
      <c r="E63" s="103">
        <v>375277.44</v>
      </c>
      <c r="F63" s="39" t="s">
        <v>165</v>
      </c>
      <c r="G63" s="37">
        <f t="shared" si="0"/>
        <v>0.43743484615879613</v>
      </c>
    </row>
    <row r="64" spans="1:7" x14ac:dyDescent="0.2">
      <c r="A64" s="10" t="s">
        <v>89</v>
      </c>
      <c r="B64" s="58" t="s">
        <v>90</v>
      </c>
      <c r="C64" s="12">
        <v>30000</v>
      </c>
      <c r="D64" s="102">
        <v>31666.080000000002</v>
      </c>
      <c r="E64" s="103">
        <v>40000</v>
      </c>
      <c r="F64" s="39" t="s">
        <v>163</v>
      </c>
      <c r="G64" s="37">
        <f t="shared" si="0"/>
        <v>0.26318129683244651</v>
      </c>
    </row>
    <row r="65" spans="1:7" x14ac:dyDescent="0.2">
      <c r="A65" s="10" t="s">
        <v>91</v>
      </c>
      <c r="B65" s="58" t="s">
        <v>92</v>
      </c>
      <c r="C65" s="12">
        <v>7000</v>
      </c>
      <c r="D65" s="102">
        <v>1445.34</v>
      </c>
      <c r="E65" s="103">
        <v>2000</v>
      </c>
      <c r="F65" s="39" t="s">
        <v>165</v>
      </c>
      <c r="G65" s="37">
        <f t="shared" si="0"/>
        <v>0.38375745499328884</v>
      </c>
    </row>
    <row r="66" spans="1:7" x14ac:dyDescent="0.2">
      <c r="A66" s="10" t="s">
        <v>93</v>
      </c>
      <c r="B66" s="58" t="s">
        <v>94</v>
      </c>
      <c r="C66" s="12">
        <v>3000</v>
      </c>
      <c r="D66" s="102">
        <v>2343.58</v>
      </c>
      <c r="E66" s="103">
        <v>3500</v>
      </c>
      <c r="F66" s="39" t="s">
        <v>165</v>
      </c>
      <c r="G66" s="37">
        <f t="shared" si="0"/>
        <v>0.4934416576349005</v>
      </c>
    </row>
    <row r="67" spans="1:7" x14ac:dyDescent="0.2">
      <c r="A67" s="10" t="s">
        <v>95</v>
      </c>
      <c r="B67" s="58" t="s">
        <v>96</v>
      </c>
      <c r="C67" s="12">
        <v>1000</v>
      </c>
      <c r="D67" s="102">
        <v>966.08</v>
      </c>
      <c r="E67" s="103">
        <v>2000</v>
      </c>
      <c r="F67" s="39" t="s">
        <v>166</v>
      </c>
      <c r="G67" s="37">
        <f t="shared" si="0"/>
        <v>1.0702219277906593</v>
      </c>
    </row>
    <row r="68" spans="1:7" x14ac:dyDescent="0.2">
      <c r="A68" s="28" t="s">
        <v>97</v>
      </c>
      <c r="B68" s="57" t="s">
        <v>63</v>
      </c>
      <c r="C68" s="13">
        <f>SUM(C63:C67)</f>
        <v>341000</v>
      </c>
      <c r="D68" s="107">
        <f>SUM(D63:D67)</f>
        <v>297495.48000000004</v>
      </c>
      <c r="E68" s="107">
        <f>SUM(E63:E67)</f>
        <v>422777.44</v>
      </c>
      <c r="F68" s="44" t="s">
        <v>165</v>
      </c>
      <c r="G68" s="37">
        <f t="shared" si="0"/>
        <v>0.42112223015959754</v>
      </c>
    </row>
    <row r="69" spans="1:7" x14ac:dyDescent="0.2">
      <c r="A69" s="10"/>
      <c r="B69" s="58"/>
      <c r="C69" s="14"/>
      <c r="D69" s="110"/>
      <c r="E69" s="110"/>
      <c r="F69" s="35"/>
      <c r="G69" s="37"/>
    </row>
    <row r="70" spans="1:7" x14ac:dyDescent="0.2">
      <c r="B70" s="57" t="s">
        <v>98</v>
      </c>
      <c r="C70" s="14"/>
      <c r="D70" s="110"/>
      <c r="E70" s="110"/>
      <c r="F70" s="35"/>
      <c r="G70" s="37"/>
    </row>
    <row r="71" spans="1:7" x14ac:dyDescent="0.2">
      <c r="A71" s="10" t="s">
        <v>99</v>
      </c>
      <c r="B71" s="58" t="s">
        <v>100</v>
      </c>
      <c r="C71" s="12">
        <v>300</v>
      </c>
      <c r="D71" s="102">
        <v>317.08</v>
      </c>
      <c r="E71" s="103">
        <v>400</v>
      </c>
      <c r="F71" s="39" t="s">
        <v>163</v>
      </c>
      <c r="G71" s="37">
        <f t="shared" ref="G71:G116" si="1">(E71-D71)/D71</f>
        <v>0.26151129052605027</v>
      </c>
    </row>
    <row r="72" spans="1:7" x14ac:dyDescent="0.2">
      <c r="A72" s="10" t="s">
        <v>101</v>
      </c>
      <c r="B72" s="58" t="s">
        <v>102</v>
      </c>
      <c r="C72" s="12">
        <v>200</v>
      </c>
      <c r="D72" s="102">
        <v>218.74</v>
      </c>
      <c r="E72" s="103">
        <v>300</v>
      </c>
      <c r="F72" s="39" t="s">
        <v>165</v>
      </c>
      <c r="G72" s="37">
        <f t="shared" si="1"/>
        <v>0.37149126817225925</v>
      </c>
    </row>
    <row r="73" spans="1:7" x14ac:dyDescent="0.2">
      <c r="A73" s="10" t="s">
        <v>103</v>
      </c>
      <c r="B73" s="58" t="s">
        <v>104</v>
      </c>
      <c r="C73" s="12">
        <v>325.98</v>
      </c>
      <c r="D73" s="102">
        <v>325.98</v>
      </c>
      <c r="E73" s="103">
        <v>325</v>
      </c>
      <c r="F73" s="39" t="s">
        <v>162</v>
      </c>
      <c r="G73" s="37">
        <f t="shared" si="1"/>
        <v>-3.0063194060985891E-3</v>
      </c>
    </row>
    <row r="74" spans="1:7" x14ac:dyDescent="0.2">
      <c r="A74" s="10" t="s">
        <v>105</v>
      </c>
      <c r="B74" s="58" t="s">
        <v>106</v>
      </c>
      <c r="C74" s="12">
        <v>1100</v>
      </c>
      <c r="D74" s="102">
        <v>1081.58</v>
      </c>
      <c r="E74" s="103">
        <v>1100</v>
      </c>
      <c r="F74" s="39" t="s">
        <v>162</v>
      </c>
      <c r="G74" s="37">
        <f t="shared" si="1"/>
        <v>1.7030640359474172E-2</v>
      </c>
    </row>
    <row r="75" spans="1:7" x14ac:dyDescent="0.2">
      <c r="A75" s="10" t="s">
        <v>107</v>
      </c>
      <c r="B75" s="58" t="s">
        <v>108</v>
      </c>
      <c r="C75" s="12">
        <v>700</v>
      </c>
      <c r="D75" s="102">
        <f>1772.06-1081.58</f>
        <v>690.48</v>
      </c>
      <c r="E75" s="103">
        <v>700</v>
      </c>
      <c r="F75" s="39" t="s">
        <v>162</v>
      </c>
      <c r="G75" s="37">
        <f t="shared" si="1"/>
        <v>1.3787510137875075E-2</v>
      </c>
    </row>
    <row r="76" spans="1:7" x14ac:dyDescent="0.2">
      <c r="A76" s="10" t="s">
        <v>109</v>
      </c>
      <c r="B76" s="59" t="s">
        <v>110</v>
      </c>
      <c r="C76" s="12">
        <v>9000</v>
      </c>
      <c r="D76" s="102">
        <v>11012.21</v>
      </c>
      <c r="E76" s="103">
        <v>17500</v>
      </c>
      <c r="F76" s="39" t="s">
        <v>166</v>
      </c>
      <c r="G76" s="37">
        <f t="shared" si="1"/>
        <v>0.5891451398039087</v>
      </c>
    </row>
    <row r="77" spans="1:7" x14ac:dyDescent="0.2">
      <c r="A77" s="10" t="s">
        <v>111</v>
      </c>
      <c r="B77" s="58" t="s">
        <v>112</v>
      </c>
      <c r="C77" s="12">
        <v>5000</v>
      </c>
      <c r="D77" s="102">
        <v>4931.5200000000004</v>
      </c>
      <c r="E77" s="103">
        <v>5000</v>
      </c>
      <c r="F77" s="39" t="s">
        <v>162</v>
      </c>
      <c r="G77" s="37">
        <f t="shared" si="1"/>
        <v>1.3886185192394953E-2</v>
      </c>
    </row>
    <row r="78" spans="1:7" x14ac:dyDescent="0.2">
      <c r="A78" s="28" t="s">
        <v>113</v>
      </c>
      <c r="B78" s="57" t="s">
        <v>63</v>
      </c>
      <c r="C78" s="13">
        <f>SUM(C71:C77)</f>
        <v>16625.98</v>
      </c>
      <c r="D78" s="107">
        <f>SUM(D71:D77)</f>
        <v>18577.59</v>
      </c>
      <c r="E78" s="107">
        <f>SUM(E71:E77)</f>
        <v>25325</v>
      </c>
      <c r="F78" s="44" t="s">
        <v>165</v>
      </c>
      <c r="G78" s="37">
        <f t="shared" si="1"/>
        <v>0.36320157781499107</v>
      </c>
    </row>
    <row r="79" spans="1:7" x14ac:dyDescent="0.2">
      <c r="B79" s="57"/>
      <c r="C79" s="13"/>
      <c r="D79" s="107"/>
      <c r="E79" s="107"/>
      <c r="F79" s="44"/>
      <c r="G79" s="37"/>
    </row>
    <row r="80" spans="1:7" x14ac:dyDescent="0.2">
      <c r="A80" s="27" t="s">
        <v>114</v>
      </c>
      <c r="B80" s="62" t="s">
        <v>115</v>
      </c>
      <c r="C80" s="101">
        <f>SUM(C78,C68,C60,C54,C45)</f>
        <v>433964.41</v>
      </c>
      <c r="D80" s="124">
        <f>SUM(D45+D54+D60+D68+D78)</f>
        <v>379331.74000000005</v>
      </c>
      <c r="E80" s="124">
        <f>SUM(E45+E54+E60+E68+E78)</f>
        <v>516802.44</v>
      </c>
      <c r="F80" s="44" t="s">
        <v>165</v>
      </c>
      <c r="G80" s="37">
        <f t="shared" si="1"/>
        <v>0.36240231307825688</v>
      </c>
    </row>
    <row r="81" spans="1:7" x14ac:dyDescent="0.2">
      <c r="B81" s="67"/>
      <c r="C81" s="14"/>
      <c r="D81" s="110"/>
      <c r="E81" s="110"/>
      <c r="F81" s="35"/>
      <c r="G81" s="37"/>
    </row>
    <row r="82" spans="1:7" x14ac:dyDescent="0.2">
      <c r="B82" s="31" t="s">
        <v>116</v>
      </c>
      <c r="C82" s="15"/>
      <c r="D82" s="126"/>
      <c r="E82" s="126"/>
      <c r="F82" s="44"/>
      <c r="G82" s="37"/>
    </row>
    <row r="83" spans="1:7" x14ac:dyDescent="0.2">
      <c r="A83" s="27" t="s">
        <v>117</v>
      </c>
      <c r="B83" s="2" t="s">
        <v>118</v>
      </c>
      <c r="C83" s="12">
        <v>5000</v>
      </c>
      <c r="D83" s="102">
        <v>1481.54</v>
      </c>
      <c r="E83" s="103">
        <v>5000</v>
      </c>
      <c r="F83" s="39" t="s">
        <v>166</v>
      </c>
      <c r="G83" s="37">
        <f t="shared" si="1"/>
        <v>2.3748666927656359</v>
      </c>
    </row>
    <row r="84" spans="1:7" x14ac:dyDescent="0.2">
      <c r="A84" s="27" t="s">
        <v>119</v>
      </c>
      <c r="B84" s="2" t="s">
        <v>120</v>
      </c>
      <c r="C84" s="12">
        <v>45000</v>
      </c>
      <c r="D84" s="102">
        <v>29508.27</v>
      </c>
      <c r="E84" s="103">
        <v>40000</v>
      </c>
      <c r="F84" s="39" t="s">
        <v>165</v>
      </c>
      <c r="G84" s="37">
        <f t="shared" si="1"/>
        <v>0.35555218926761883</v>
      </c>
    </row>
    <row r="85" spans="1:7" x14ac:dyDescent="0.2">
      <c r="A85" s="27" t="s">
        <v>121</v>
      </c>
      <c r="B85" s="31" t="s">
        <v>122</v>
      </c>
      <c r="C85" s="15">
        <f>SUM(C83:C84)</f>
        <v>50000</v>
      </c>
      <c r="D85" s="126">
        <f>SUM(D83:D84)</f>
        <v>30989.81</v>
      </c>
      <c r="E85" s="126">
        <f>SUM(E83+E84)</f>
        <v>45000</v>
      </c>
      <c r="F85" s="44"/>
      <c r="G85" s="37">
        <f t="shared" si="1"/>
        <v>0.45209021933338728</v>
      </c>
    </row>
    <row r="86" spans="1:7" x14ac:dyDescent="0.2">
      <c r="A86" s="10"/>
      <c r="B86" s="68"/>
      <c r="C86" s="14"/>
      <c r="D86" s="110"/>
      <c r="E86" s="110"/>
      <c r="F86" s="35"/>
      <c r="G86" s="37"/>
    </row>
    <row r="87" spans="1:7" x14ac:dyDescent="0.2">
      <c r="B87" s="3" t="s">
        <v>123</v>
      </c>
      <c r="C87" s="16"/>
      <c r="D87" s="127"/>
      <c r="E87" s="127"/>
      <c r="F87" s="35"/>
      <c r="G87" s="37"/>
    </row>
    <row r="88" spans="1:7" x14ac:dyDescent="0.2">
      <c r="B88" s="4" t="s">
        <v>124</v>
      </c>
      <c r="C88" s="14"/>
      <c r="D88" s="110"/>
      <c r="E88" s="110"/>
      <c r="F88" s="45"/>
      <c r="G88" s="37"/>
    </row>
    <row r="89" spans="1:7" x14ac:dyDescent="0.2">
      <c r="A89" t="s">
        <v>125</v>
      </c>
      <c r="B89" s="5" t="s">
        <v>126</v>
      </c>
      <c r="C89" s="14">
        <v>8000</v>
      </c>
      <c r="D89" s="125">
        <v>7971.33</v>
      </c>
      <c r="E89" s="128">
        <v>10000</v>
      </c>
      <c r="F89" s="45" t="s">
        <v>163</v>
      </c>
      <c r="G89" s="37">
        <f t="shared" si="1"/>
        <v>0.25449579932081601</v>
      </c>
    </row>
    <row r="90" spans="1:7" x14ac:dyDescent="0.2">
      <c r="A90" t="s">
        <v>127</v>
      </c>
      <c r="B90" s="5" t="s">
        <v>128</v>
      </c>
      <c r="C90" s="12">
        <f>5190+1039.98+300+650+56.7+86.24+1600-60</f>
        <v>8862.9199999999983</v>
      </c>
      <c r="D90" s="102">
        <v>8742.92</v>
      </c>
      <c r="E90" s="105">
        <v>9000</v>
      </c>
      <c r="F90" s="45" t="s">
        <v>164</v>
      </c>
      <c r="G90" s="37">
        <f t="shared" si="1"/>
        <v>2.9404363759476231E-2</v>
      </c>
    </row>
    <row r="91" spans="1:7" x14ac:dyDescent="0.2">
      <c r="A91" t="s">
        <v>129</v>
      </c>
      <c r="B91" s="5" t="s">
        <v>130</v>
      </c>
      <c r="C91" s="14">
        <v>4500</v>
      </c>
      <c r="D91" s="125">
        <v>2924.96</v>
      </c>
      <c r="E91" s="128">
        <v>5000</v>
      </c>
      <c r="F91" s="45" t="s">
        <v>165</v>
      </c>
      <c r="G91" s="37">
        <f t="shared" si="1"/>
        <v>0.70942508615502431</v>
      </c>
    </row>
    <row r="92" spans="1:7" x14ac:dyDescent="0.2">
      <c r="A92" t="s">
        <v>131</v>
      </c>
      <c r="B92" s="5" t="s">
        <v>132</v>
      </c>
      <c r="C92" s="14">
        <v>3972</v>
      </c>
      <c r="D92" s="125">
        <v>1468.3</v>
      </c>
      <c r="E92" s="128">
        <v>3000</v>
      </c>
      <c r="F92" s="45" t="s">
        <v>166</v>
      </c>
      <c r="G92" s="37">
        <f t="shared" si="1"/>
        <v>1.0431791868146838</v>
      </c>
    </row>
    <row r="93" spans="1:7" x14ac:dyDescent="0.2">
      <c r="A93" s="27" t="s">
        <v>133</v>
      </c>
      <c r="B93" s="4" t="s">
        <v>54</v>
      </c>
      <c r="C93" s="13">
        <f>SUM(C89:C92)</f>
        <v>25334.92</v>
      </c>
      <c r="D93" s="107">
        <f>SUM(D89:D92)</f>
        <v>21107.51</v>
      </c>
      <c r="E93" s="107">
        <f>SUM(E89:E92)</f>
        <v>27000</v>
      </c>
      <c r="F93" s="43" t="s">
        <v>163</v>
      </c>
      <c r="G93" s="37">
        <f t="shared" si="1"/>
        <v>0.27916556713700491</v>
      </c>
    </row>
    <row r="94" spans="1:7" x14ac:dyDescent="0.2">
      <c r="A94" s="10"/>
      <c r="B94" s="70"/>
      <c r="C94" s="14"/>
      <c r="D94" s="110"/>
      <c r="E94" s="110"/>
      <c r="F94" s="45"/>
      <c r="G94" s="37"/>
    </row>
    <row r="95" spans="1:7" x14ac:dyDescent="0.2">
      <c r="B95" s="4" t="s">
        <v>134</v>
      </c>
      <c r="C95" s="14"/>
      <c r="D95" s="110"/>
      <c r="E95" s="110"/>
      <c r="F95" s="45"/>
      <c r="G95" s="37"/>
    </row>
    <row r="96" spans="1:7" x14ac:dyDescent="0.2">
      <c r="A96" s="29" t="s">
        <v>135</v>
      </c>
      <c r="B96" s="5" t="s">
        <v>136</v>
      </c>
      <c r="C96" s="12">
        <v>4200</v>
      </c>
      <c r="D96" s="102">
        <v>4692.38</v>
      </c>
      <c r="E96" s="103">
        <v>4500</v>
      </c>
      <c r="F96" s="43" t="s">
        <v>162</v>
      </c>
      <c r="G96" s="37">
        <f t="shared" si="1"/>
        <v>-4.0998384615056775E-2</v>
      </c>
    </row>
    <row r="97" spans="1:7" x14ac:dyDescent="0.2">
      <c r="A97" s="27" t="s">
        <v>137</v>
      </c>
      <c r="B97" s="4" t="s">
        <v>54</v>
      </c>
      <c r="C97" s="13">
        <f>C96</f>
        <v>4200</v>
      </c>
      <c r="D97" s="107">
        <f>SUM(D96)</f>
        <v>4692.38</v>
      </c>
      <c r="E97" s="107">
        <f>E96</f>
        <v>4500</v>
      </c>
      <c r="F97" s="43" t="s">
        <v>162</v>
      </c>
      <c r="G97" s="37">
        <f t="shared" si="1"/>
        <v>-4.0998384615056775E-2</v>
      </c>
    </row>
    <row r="98" spans="1:7" x14ac:dyDescent="0.2">
      <c r="A98" s="10"/>
      <c r="B98" s="69"/>
      <c r="C98" s="34"/>
      <c r="D98" s="129"/>
      <c r="E98" s="129"/>
      <c r="F98" s="45"/>
      <c r="G98" s="37"/>
    </row>
    <row r="99" spans="1:7" x14ac:dyDescent="0.2">
      <c r="A99" s="10"/>
      <c r="B99" s="4" t="s">
        <v>138</v>
      </c>
      <c r="C99" s="34"/>
      <c r="D99" s="129"/>
      <c r="E99" s="129"/>
      <c r="F99" s="45"/>
      <c r="G99" s="37"/>
    </row>
    <row r="100" spans="1:7" x14ac:dyDescent="0.2">
      <c r="A100" t="s">
        <v>139</v>
      </c>
      <c r="B100" s="30" t="s">
        <v>169</v>
      </c>
      <c r="C100" s="12">
        <v>1000</v>
      </c>
      <c r="D100" s="102">
        <v>1351.89</v>
      </c>
      <c r="E100" s="103">
        <v>2500</v>
      </c>
      <c r="F100" s="45" t="s">
        <v>166</v>
      </c>
      <c r="G100" s="37">
        <f t="shared" si="1"/>
        <v>0.84926288381451143</v>
      </c>
    </row>
    <row r="101" spans="1:7" x14ac:dyDescent="0.2">
      <c r="A101" t="s">
        <v>140</v>
      </c>
      <c r="B101" s="30" t="s">
        <v>141</v>
      </c>
      <c r="C101" s="12">
        <v>3000</v>
      </c>
      <c r="D101" s="102">
        <v>3687.2</v>
      </c>
      <c r="E101" s="103">
        <v>7500</v>
      </c>
      <c r="F101" s="45" t="s">
        <v>166</v>
      </c>
      <c r="G101" s="37">
        <f t="shared" si="1"/>
        <v>1.0340637882403994</v>
      </c>
    </row>
    <row r="102" spans="1:7" x14ac:dyDescent="0.2">
      <c r="A102" t="s">
        <v>142</v>
      </c>
      <c r="B102" s="5" t="s">
        <v>143</v>
      </c>
      <c r="C102" s="12">
        <v>4541</v>
      </c>
      <c r="D102" s="130">
        <f>4391+150</f>
        <v>4541</v>
      </c>
      <c r="E102" s="103">
        <v>4600</v>
      </c>
      <c r="F102" s="39" t="s">
        <v>162</v>
      </c>
      <c r="G102" s="37">
        <f t="shared" si="1"/>
        <v>1.2992732878220656E-2</v>
      </c>
    </row>
    <row r="103" spans="1:7" x14ac:dyDescent="0.2">
      <c r="A103" s="27" t="s">
        <v>144</v>
      </c>
      <c r="B103" s="4" t="s">
        <v>63</v>
      </c>
      <c r="C103" s="13">
        <f>SUM(C100:C102)</f>
        <v>8541</v>
      </c>
      <c r="D103" s="107">
        <f>SUM(D100:D102)</f>
        <v>9580.09</v>
      </c>
      <c r="E103" s="107">
        <f>SUM(E100:E102)</f>
        <v>14600</v>
      </c>
      <c r="F103" s="43" t="s">
        <v>165</v>
      </c>
      <c r="G103" s="37">
        <f t="shared" si="1"/>
        <v>0.52399403345897588</v>
      </c>
    </row>
    <row r="104" spans="1:7" x14ac:dyDescent="0.2">
      <c r="B104" s="68"/>
      <c r="C104" s="14"/>
      <c r="D104" s="110"/>
      <c r="E104" s="110"/>
      <c r="F104" s="35"/>
      <c r="G104" s="37"/>
    </row>
    <row r="105" spans="1:7" x14ac:dyDescent="0.2">
      <c r="B105" s="2" t="s">
        <v>145</v>
      </c>
      <c r="C105" s="14"/>
      <c r="D105" s="110"/>
      <c r="E105" s="110"/>
      <c r="F105" s="35"/>
      <c r="G105" s="37"/>
    </row>
    <row r="106" spans="1:7" x14ac:dyDescent="0.2">
      <c r="A106" t="s">
        <v>146</v>
      </c>
      <c r="B106" s="1" t="s">
        <v>147</v>
      </c>
      <c r="C106" s="12">
        <v>10000</v>
      </c>
      <c r="D106" s="102">
        <v>10115.959999999999</v>
      </c>
      <c r="E106" s="103">
        <v>12000</v>
      </c>
      <c r="F106" s="39"/>
      <c r="G106" s="37">
        <f t="shared" si="1"/>
        <v>0.18624431096999208</v>
      </c>
    </row>
    <row r="107" spans="1:7" x14ac:dyDescent="0.2">
      <c r="A107" t="s">
        <v>148</v>
      </c>
      <c r="B107" s="1" t="s">
        <v>149</v>
      </c>
      <c r="C107" s="12">
        <v>4000</v>
      </c>
      <c r="D107" s="102">
        <v>1751.52</v>
      </c>
      <c r="E107" s="103">
        <v>4000</v>
      </c>
      <c r="F107" s="39"/>
      <c r="G107" s="37">
        <f t="shared" si="1"/>
        <v>1.2837307024755642</v>
      </c>
    </row>
    <row r="108" spans="1:7" x14ac:dyDescent="0.2">
      <c r="A108" s="27" t="s">
        <v>150</v>
      </c>
      <c r="B108" s="2" t="s">
        <v>54</v>
      </c>
      <c r="C108" s="13">
        <v>12000</v>
      </c>
      <c r="D108" s="107">
        <f>SUM(D106:D107)</f>
        <v>11867.48</v>
      </c>
      <c r="E108" s="107">
        <f>SUM(E106+E107)</f>
        <v>16000</v>
      </c>
      <c r="F108" s="44"/>
      <c r="G108" s="37">
        <f t="shared" si="1"/>
        <v>0.34822220050086461</v>
      </c>
    </row>
    <row r="109" spans="1:7" x14ac:dyDescent="0.2">
      <c r="A109" s="27" t="s">
        <v>151</v>
      </c>
      <c r="B109" s="3" t="s">
        <v>152</v>
      </c>
      <c r="C109" s="17">
        <f>SUM(C93,C97,C103,C108)</f>
        <v>50075.92</v>
      </c>
      <c r="D109" s="131">
        <f>SUM(D93+D97+D103+D108)</f>
        <v>47247.459999999992</v>
      </c>
      <c r="E109" s="131">
        <f>SUM(E93+E97+E103+E108)</f>
        <v>62100</v>
      </c>
      <c r="F109" s="44"/>
      <c r="G109" s="37">
        <f t="shared" si="1"/>
        <v>0.31435636963341546</v>
      </c>
    </row>
    <row r="110" spans="1:7" x14ac:dyDescent="0.2">
      <c r="B110" s="68"/>
      <c r="C110" s="14"/>
      <c r="D110" s="110"/>
      <c r="E110" s="110"/>
      <c r="F110" s="35"/>
      <c r="G110" s="37"/>
    </row>
    <row r="111" spans="1:7" x14ac:dyDescent="0.2">
      <c r="B111" s="6" t="s">
        <v>153</v>
      </c>
      <c r="C111" s="18"/>
      <c r="D111" s="132"/>
      <c r="E111" s="132"/>
      <c r="F111" s="35"/>
      <c r="G111" s="37"/>
    </row>
    <row r="112" spans="1:7" x14ac:dyDescent="0.2">
      <c r="A112" t="s">
        <v>154</v>
      </c>
      <c r="B112" s="9" t="s">
        <v>155</v>
      </c>
      <c r="C112" s="12">
        <v>10000</v>
      </c>
      <c r="D112" s="102">
        <v>5910.61</v>
      </c>
      <c r="E112" s="103">
        <v>5000</v>
      </c>
      <c r="F112" s="39"/>
      <c r="G112" s="37">
        <f t="shared" si="1"/>
        <v>-0.15406362456666906</v>
      </c>
    </row>
    <row r="113" spans="1:7" x14ac:dyDescent="0.2">
      <c r="A113" t="s">
        <v>156</v>
      </c>
      <c r="B113" s="1" t="s">
        <v>157</v>
      </c>
      <c r="C113" s="12">
        <v>600</v>
      </c>
      <c r="D113" s="102">
        <v>337.93</v>
      </c>
      <c r="E113" s="103">
        <v>600</v>
      </c>
      <c r="F113" s="39"/>
      <c r="G113" s="37">
        <f t="shared" si="1"/>
        <v>0.7755156393335898</v>
      </c>
    </row>
    <row r="114" spans="1:7" x14ac:dyDescent="0.2">
      <c r="A114" s="27" t="s">
        <v>158</v>
      </c>
      <c r="B114" s="6" t="s">
        <v>159</v>
      </c>
      <c r="C114" s="19">
        <f>SUM(C112:C113)</f>
        <v>10600</v>
      </c>
      <c r="D114" s="133">
        <f>SUM(D112:D113)</f>
        <v>6248.54</v>
      </c>
      <c r="E114" s="133">
        <f>SUM(E112+E113)</f>
        <v>5600</v>
      </c>
      <c r="F114" s="44"/>
      <c r="G114" s="37">
        <f t="shared" si="1"/>
        <v>-0.10379064549478757</v>
      </c>
    </row>
    <row r="115" spans="1:7" x14ac:dyDescent="0.2">
      <c r="A115" s="27"/>
      <c r="B115" s="2"/>
      <c r="C115" s="13"/>
      <c r="D115" s="107">
        <v>-4039.34</v>
      </c>
      <c r="E115" s="107"/>
      <c r="F115" s="44"/>
      <c r="G115" s="37">
        <f t="shared" si="1"/>
        <v>-1</v>
      </c>
    </row>
    <row r="116" spans="1:7" x14ac:dyDescent="0.2">
      <c r="A116" s="27"/>
      <c r="B116" s="7" t="s">
        <v>160</v>
      </c>
      <c r="C116" s="22">
        <f>SUM(C114,C109,C85,C80)</f>
        <v>544640.32999999996</v>
      </c>
      <c r="D116" s="123">
        <f>SUM(D80+D85+D109+D114)-4039.34</f>
        <v>459778.20999999996</v>
      </c>
      <c r="E116" s="123">
        <f>SUM(E80+E85+E109+E114)</f>
        <v>629502.43999999994</v>
      </c>
      <c r="F116" s="44"/>
      <c r="G116" s="37">
        <f t="shared" si="1"/>
        <v>0.36914370082914544</v>
      </c>
    </row>
    <row r="117" spans="1:7" x14ac:dyDescent="0.2">
      <c r="A117" s="10"/>
      <c r="B117" s="1"/>
      <c r="C117" s="14"/>
      <c r="D117" s="110"/>
      <c r="E117" s="110"/>
      <c r="F117" s="35"/>
      <c r="G117" s="37"/>
    </row>
    <row r="118" spans="1:7" x14ac:dyDescent="0.2">
      <c r="B118" s="8"/>
      <c r="C118" s="32">
        <f>C29-C116</f>
        <v>29227.390000000014</v>
      </c>
      <c r="D118" s="134">
        <f>D29-D116</f>
        <v>91851.430000000051</v>
      </c>
      <c r="E118" s="134">
        <f>E29-E116</f>
        <v>0</v>
      </c>
      <c r="F118" s="35"/>
      <c r="G118" s="93"/>
    </row>
    <row r="119" spans="1:7" x14ac:dyDescent="0.2">
      <c r="C119" s="46"/>
    </row>
    <row r="120" spans="1:7" x14ac:dyDescent="0.2">
      <c r="B120" s="82" t="s">
        <v>180</v>
      </c>
      <c r="D120" s="84">
        <f>22565.01</f>
        <v>22565.01</v>
      </c>
    </row>
    <row r="121" spans="1:7" ht="15" customHeight="1" x14ac:dyDescent="0.2">
      <c r="B121" s="82" t="s">
        <v>181</v>
      </c>
      <c r="D121" s="85">
        <v>69000</v>
      </c>
    </row>
    <row r="122" spans="1:7" ht="15" customHeight="1" x14ac:dyDescent="0.2">
      <c r="B122" s="135" t="s">
        <v>182</v>
      </c>
      <c r="D122" s="84">
        <f>D118-D120-D121</f>
        <v>286.42000000005646</v>
      </c>
    </row>
    <row r="123" spans="1:7" ht="15" customHeight="1" x14ac:dyDescent="0.2">
      <c r="B123" s="83"/>
      <c r="D123" s="86"/>
    </row>
    <row r="124" spans="1:7" x14ac:dyDescent="0.2">
      <c r="C124" s="75"/>
      <c r="E124" s="25"/>
      <c r="F124" s="25"/>
      <c r="G124" s="25"/>
    </row>
    <row r="125" spans="1:7" x14ac:dyDescent="0.2">
      <c r="C125" s="75"/>
    </row>
    <row r="131" spans="2:2" ht="15" customHeight="1" x14ac:dyDescent="0.2">
      <c r="B131" s="75"/>
    </row>
  </sheetData>
  <pageMargins left="0.7" right="0.7" top="0.75" bottom="0.75" header="0.3" footer="0.3"/>
  <pageSetup paperSize="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1ca208-4ded-4a48-86fc-1447c6845523">
      <Terms xmlns="http://schemas.microsoft.com/office/infopath/2007/PartnerControls"/>
    </lcf76f155ced4ddcb4097134ff3c332f>
    <TaxCatchAll xmlns="77f477f9-74c4-4900-8587-fdf325b2638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C22E550780CC4EA889482E367F6EA7" ma:contentTypeVersion="13" ma:contentTypeDescription="Crée un document." ma:contentTypeScope="" ma:versionID="0a11b423bfeafc3c5a08bfad136554be">
  <xsd:schema xmlns:xsd="http://www.w3.org/2001/XMLSchema" xmlns:xs="http://www.w3.org/2001/XMLSchema" xmlns:p="http://schemas.microsoft.com/office/2006/metadata/properties" xmlns:ns2="421ca208-4ded-4a48-86fc-1447c6845523" xmlns:ns3="77f477f9-74c4-4900-8587-fdf325b26381" targetNamespace="http://schemas.microsoft.com/office/2006/metadata/properties" ma:root="true" ma:fieldsID="d32b75d2527b6cef356d0745c94eb20c" ns2:_="" ns3:_="">
    <xsd:import namespace="421ca208-4ded-4a48-86fc-1447c6845523"/>
    <xsd:import namespace="77f477f9-74c4-4900-8587-fdf325b263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ca208-4ded-4a48-86fc-1447c68455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b970081c-13ba-4b22-81a8-d4700c9199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f477f9-74c4-4900-8587-fdf325b2638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f4824d9-4d1b-4ef1-93de-6c304650befc}" ma:internalName="TaxCatchAll" ma:showField="CatchAllData" ma:web="77f477f9-74c4-4900-8587-fdf325b263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F997A4-A178-49CA-9B57-303C604D7626}">
  <ds:schemaRefs>
    <ds:schemaRef ds:uri="http://schemas.microsoft.com/office/2006/metadata/properties"/>
    <ds:schemaRef ds:uri="http://www.w3.org/2000/xmlns/"/>
    <ds:schemaRef ds:uri="218213dd-be9f-456e-8a88-8295a8c0dd9d"/>
    <ds:schemaRef ds:uri="http://www.w3.org/2001/XMLSchema-instance"/>
  </ds:schemaRefs>
</ds:datastoreItem>
</file>

<file path=customXml/itemProps2.xml><?xml version="1.0" encoding="utf-8"?>
<ds:datastoreItem xmlns:ds="http://schemas.openxmlformats.org/officeDocument/2006/customXml" ds:itemID="{CD42BC3B-FD6C-4512-91C5-5AF0CBFA5C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6D995D-78E0-4722-A419-4C73472C96FE}"/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Comptes 25 + budget 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Florence Chasseur</cp:lastModifiedBy>
  <cp:revision/>
  <dcterms:created xsi:type="dcterms:W3CDTF">2025-03-25T10:44:05Z</dcterms:created>
  <dcterms:modified xsi:type="dcterms:W3CDTF">2026-03-25T14:10:14Z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0x01010037C22E550780CC4EA889482E367F6EA7</vt:lpwstr>
  </property>
  <property fmtid="{D5CDD505-2E9C-101B-9397-08002B2CF9AE}" pid="3" name="MediaServiceImageTags">
    <vt:lpwstr/>
  </property>
</Properties>
</file>